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carena\Documents\Relaciones\zTesis\FINAL\PARA UNIVERSIDAD\ANEXOS\"/>
    </mc:Choice>
  </mc:AlternateContent>
  <bookViews>
    <workbookView xWindow="240" yWindow="60" windowWidth="20115" windowHeight="8010" activeTab="5"/>
  </bookViews>
  <sheets>
    <sheet name="CAJONES" sheetId="6" r:id="rId1"/>
    <sheet name="3 EQUIPOS" sheetId="1" r:id="rId2"/>
    <sheet name="MANGO" sheetId="2" r:id="rId3"/>
    <sheet name="VB" sheetId="3" r:id="rId4"/>
    <sheet name="VR" sheetId="4" r:id="rId5"/>
    <sheet name="PRECIOS" sheetId="5" r:id="rId6"/>
  </sheets>
  <calcPr calcId="162913"/>
</workbook>
</file>

<file path=xl/calcChain.xml><?xml version="1.0" encoding="utf-8"?>
<calcChain xmlns="http://schemas.openxmlformats.org/spreadsheetml/2006/main">
  <c r="E7" i="2" l="1"/>
  <c r="E8" i="2" s="1"/>
  <c r="G8" i="2" s="1"/>
  <c r="H8" i="6" l="1"/>
  <c r="F8" i="6"/>
  <c r="G8" i="6" s="1"/>
  <c r="H7" i="6"/>
  <c r="F7" i="6"/>
  <c r="G7" i="6" s="1"/>
  <c r="H6" i="6"/>
  <c r="F6" i="6"/>
  <c r="G6" i="6" s="1"/>
  <c r="G9" i="6" l="1"/>
  <c r="H9" i="6"/>
  <c r="E52" i="4"/>
  <c r="E51" i="4"/>
  <c r="E50" i="4"/>
  <c r="E49" i="4"/>
  <c r="E48" i="4"/>
  <c r="E47" i="4"/>
  <c r="E42" i="4"/>
  <c r="E38" i="4"/>
  <c r="E36" i="4"/>
  <c r="E35" i="4"/>
  <c r="E34" i="4"/>
  <c r="E33" i="4"/>
  <c r="E32" i="4"/>
  <c r="E31" i="4"/>
  <c r="E30" i="4"/>
  <c r="E24" i="4"/>
  <c r="I18" i="4"/>
  <c r="E18" i="4"/>
  <c r="E17" i="4"/>
  <c r="E16" i="4"/>
  <c r="I13" i="4"/>
  <c r="E15" i="4"/>
  <c r="E13" i="4"/>
  <c r="E12" i="4"/>
  <c r="E11" i="4"/>
  <c r="E10" i="4"/>
  <c r="E9" i="4"/>
  <c r="E4" i="4"/>
  <c r="E6" i="4" l="1"/>
  <c r="E7" i="4" s="1"/>
  <c r="G7" i="4" l="1"/>
  <c r="E19" i="4"/>
  <c r="C18" i="5"/>
  <c r="D18" i="5" s="1"/>
  <c r="E18" i="5" s="1"/>
  <c r="E22" i="4" l="1"/>
  <c r="E21" i="4"/>
  <c r="E23" i="4" s="1"/>
  <c r="E25" i="4" s="1"/>
  <c r="E26" i="4" s="1"/>
  <c r="G26" i="4" s="1"/>
  <c r="G23" i="4" l="1"/>
  <c r="C19" i="5"/>
  <c r="D19" i="5" s="1"/>
  <c r="E19" i="5" s="1"/>
  <c r="C20" i="5"/>
  <c r="D20" i="5" s="1"/>
  <c r="E20" i="5" s="1"/>
  <c r="E45" i="4"/>
  <c r="E44" i="4"/>
  <c r="E29" i="4"/>
  <c r="E27" i="4"/>
  <c r="E58" i="4" s="1"/>
  <c r="C21" i="5" l="1"/>
  <c r="D21" i="5" s="1"/>
  <c r="E21" i="5" s="1"/>
  <c r="G58" i="4"/>
  <c r="E57" i="4"/>
  <c r="G57" i="4" s="1"/>
  <c r="I20" i="4"/>
  <c r="I22" i="4" s="1"/>
  <c r="E52" i="3" l="1"/>
  <c r="E51" i="3"/>
  <c r="E50" i="3"/>
  <c r="E49" i="3"/>
  <c r="E48" i="3"/>
  <c r="E47" i="3"/>
  <c r="E42" i="3"/>
  <c r="E38" i="3"/>
  <c r="E36" i="3"/>
  <c r="E35" i="3"/>
  <c r="E34" i="3"/>
  <c r="E33" i="3"/>
  <c r="E32" i="3"/>
  <c r="E31" i="3"/>
  <c r="E30" i="3"/>
  <c r="E24" i="3"/>
  <c r="I18" i="3"/>
  <c r="E18" i="3"/>
  <c r="E17" i="3"/>
  <c r="E16" i="3"/>
  <c r="I13" i="3"/>
  <c r="E15" i="3"/>
  <c r="E13" i="3"/>
  <c r="E12" i="3"/>
  <c r="E11" i="3"/>
  <c r="E10" i="3"/>
  <c r="E9" i="3"/>
  <c r="E4" i="3"/>
  <c r="E6" i="3" l="1"/>
  <c r="E7" i="3" s="1"/>
  <c r="G7" i="3" l="1"/>
  <c r="C12" i="5"/>
  <c r="D12" i="5" s="1"/>
  <c r="E12" i="5" s="1"/>
  <c r="E19" i="3"/>
  <c r="E22" i="3" l="1"/>
  <c r="E21" i="3"/>
  <c r="E23" i="3" s="1"/>
  <c r="E25" i="3" s="1"/>
  <c r="E26" i="3" s="1"/>
  <c r="E29" i="3" l="1"/>
  <c r="E27" i="3"/>
  <c r="G23" i="3"/>
  <c r="C13" i="5"/>
  <c r="D13" i="5" s="1"/>
  <c r="E13" i="5" s="1"/>
  <c r="C14" i="5"/>
  <c r="D14" i="5" s="1"/>
  <c r="E14" i="5" s="1"/>
  <c r="G26" i="3"/>
  <c r="E44" i="3"/>
  <c r="E45" i="3"/>
  <c r="E58" i="3" s="1"/>
  <c r="E57" i="3" l="1"/>
  <c r="G57" i="3" s="1"/>
  <c r="C15" i="5"/>
  <c r="D15" i="5" s="1"/>
  <c r="E15" i="5" s="1"/>
  <c r="G58" i="3"/>
  <c r="I20" i="3"/>
  <c r="I22" i="3" s="1"/>
  <c r="E53" i="2" l="1"/>
  <c r="E52" i="2"/>
  <c r="E51" i="2"/>
  <c r="E50" i="2"/>
  <c r="E49" i="2"/>
  <c r="E48" i="2"/>
  <c r="E43" i="2"/>
  <c r="E39" i="2"/>
  <c r="E37" i="2"/>
  <c r="E36" i="2"/>
  <c r="E35" i="2"/>
  <c r="E34" i="2"/>
  <c r="E33" i="2"/>
  <c r="E32" i="2"/>
  <c r="E31" i="2"/>
  <c r="E25" i="2"/>
  <c r="I19" i="2"/>
  <c r="E19" i="2"/>
  <c r="E18" i="2"/>
  <c r="E17" i="2"/>
  <c r="I14" i="2"/>
  <c r="E16" i="2"/>
  <c r="E14" i="2"/>
  <c r="E13" i="2"/>
  <c r="E12" i="2"/>
  <c r="E11" i="2"/>
  <c r="E10" i="2"/>
  <c r="E20" i="2" l="1"/>
  <c r="E22" i="2" s="1"/>
  <c r="C6" i="5"/>
  <c r="D6" i="5" s="1"/>
  <c r="E6" i="5" s="1"/>
  <c r="E23" i="2"/>
  <c r="E24" i="2" l="1"/>
  <c r="C7" i="5"/>
  <c r="D7" i="5" s="1"/>
  <c r="E7" i="5" s="1"/>
  <c r="G24" i="2"/>
  <c r="E26" i="2"/>
  <c r="E27" i="2" s="1"/>
  <c r="C8" i="5" l="1"/>
  <c r="D8" i="5" s="1"/>
  <c r="E8" i="5" s="1"/>
  <c r="G27" i="2"/>
  <c r="E30" i="2"/>
  <c r="E45" i="2"/>
  <c r="E46" i="2"/>
  <c r="E28" i="2"/>
  <c r="E59" i="2" s="1"/>
  <c r="I21" i="2" s="1"/>
  <c r="I23" i="2" s="1"/>
  <c r="C9" i="5" l="1"/>
  <c r="D9" i="5" s="1"/>
  <c r="E9" i="5" s="1"/>
  <c r="G59" i="2"/>
  <c r="E58" i="2"/>
  <c r="G58" i="2" s="1"/>
  <c r="E4" i="1" l="1"/>
  <c r="E6" i="1" l="1"/>
  <c r="E7" i="1" s="1"/>
  <c r="I19" i="1"/>
  <c r="I14" i="1"/>
  <c r="E52" i="1"/>
  <c r="E51" i="1"/>
  <c r="E47" i="1"/>
  <c r="E48" i="1"/>
  <c r="E49" i="1"/>
  <c r="E50" i="1"/>
  <c r="E24" i="1"/>
  <c r="E18" i="1"/>
  <c r="E9" i="1"/>
  <c r="G7" i="1" l="1"/>
  <c r="C24" i="5"/>
  <c r="D24" i="5" s="1"/>
  <c r="E40" i="1"/>
  <c r="E35" i="1"/>
  <c r="E34" i="1"/>
  <c r="E33" i="1"/>
  <c r="E32" i="1"/>
  <c r="G24" i="5" l="1"/>
  <c r="F24" i="5"/>
  <c r="H24" i="5"/>
  <c r="E42" i="1"/>
  <c r="E38" i="1"/>
  <c r="E36" i="1"/>
  <c r="E31" i="1"/>
  <c r="E30" i="1"/>
  <c r="E17" i="1"/>
  <c r="E16" i="1"/>
  <c r="E15" i="1"/>
  <c r="E13" i="1"/>
  <c r="E12" i="1"/>
  <c r="E11" i="1"/>
  <c r="E10" i="1"/>
  <c r="E19" i="1" l="1"/>
  <c r="E21" i="1" s="1"/>
  <c r="E22" i="1" l="1"/>
  <c r="E23" i="1" s="1"/>
  <c r="G23" i="1" s="1"/>
  <c r="E25" i="1" l="1"/>
  <c r="E26" i="1" s="1"/>
  <c r="C25" i="5"/>
  <c r="D25" i="5" s="1"/>
  <c r="C26" i="5" l="1"/>
  <c r="D26" i="5" s="1"/>
  <c r="G26" i="1"/>
  <c r="F25" i="5"/>
  <c r="H25" i="5"/>
  <c r="G25" i="5"/>
  <c r="E45" i="1"/>
  <c r="E29" i="1"/>
  <c r="E27" i="1"/>
  <c r="E44" i="1"/>
  <c r="G26" i="5" l="1"/>
  <c r="H26" i="5"/>
  <c r="F26" i="5"/>
  <c r="E57" i="1"/>
  <c r="G57" i="1" s="1"/>
  <c r="E58" i="1"/>
  <c r="G58" i="1" s="1"/>
  <c r="C27" i="5" l="1"/>
  <c r="D27" i="5" s="1"/>
  <c r="H27" i="5" l="1"/>
  <c r="F27" i="5"/>
  <c r="G27" i="5"/>
</calcChain>
</file>

<file path=xl/sharedStrings.xml><?xml version="1.0" encoding="utf-8"?>
<sst xmlns="http://schemas.openxmlformats.org/spreadsheetml/2006/main" count="545" uniqueCount="165">
  <si>
    <t>SE APLICA MÍNIMO 1M3</t>
  </si>
  <si>
    <t xml:space="preserve">MANGO </t>
  </si>
  <si>
    <t>OBSERVACIONES</t>
  </si>
  <si>
    <t xml:space="preserve"> 84.70.9090</t>
  </si>
  <si>
    <t>CTO EXW</t>
  </si>
  <si>
    <t>100 U x U$S 52</t>
  </si>
  <si>
    <t>VALOR DECLARADO (U$S)</t>
  </si>
  <si>
    <t>GTOS LOCALES ARG</t>
  </si>
  <si>
    <t>PESO BRUTO (TON)</t>
  </si>
  <si>
    <t>Consolidación</t>
  </si>
  <si>
    <t>U$S 35 x CBM/TON + IVA</t>
  </si>
  <si>
    <t>VOLUMEN (CBM)</t>
  </si>
  <si>
    <t>House Bill of Landing (HBL)</t>
  </si>
  <si>
    <t>U$S 60 + IVA</t>
  </si>
  <si>
    <t>Gate Out</t>
  </si>
  <si>
    <t>U$S 75 + IVA</t>
  </si>
  <si>
    <t>Verified Gross Mass (VGM)</t>
  </si>
  <si>
    <t>U$S 45 + IVA</t>
  </si>
  <si>
    <t>Desprecintado</t>
  </si>
  <si>
    <t>U$S 100 + IVA</t>
  </si>
  <si>
    <t>BUE - BOG</t>
  </si>
  <si>
    <t>OTROS GTOS</t>
  </si>
  <si>
    <t>Gtos de depósito (Murchinson)</t>
  </si>
  <si>
    <t>U$S 400 + IVA</t>
  </si>
  <si>
    <t>TT</t>
  </si>
  <si>
    <t>Vericación</t>
  </si>
  <si>
    <t>U$S 150 + IVA</t>
  </si>
  <si>
    <t>CARGA</t>
  </si>
  <si>
    <t>Traslado interno hasta depósito</t>
  </si>
  <si>
    <t>U$S 125 + IVA</t>
  </si>
  <si>
    <t>FLETE ROS - BUE</t>
  </si>
  <si>
    <t>U$S 45 x CBM/TON</t>
  </si>
  <si>
    <t>BASE IMPONIBLE</t>
  </si>
  <si>
    <t>DERECHOS ARG</t>
  </si>
  <si>
    <t>NCM</t>
  </si>
  <si>
    <t>12% O MÁXIMO $3 POR DÓLAR SOBRE BASE FOB+12%</t>
  </si>
  <si>
    <t>REINTEGRO EXPO</t>
  </si>
  <si>
    <t>4,5% SOBRE VALOR FOB</t>
  </si>
  <si>
    <t>CTO FOB</t>
  </si>
  <si>
    <t>U$S 125 x CBM/TON MINIMO 225</t>
  </si>
  <si>
    <t>SEGURO</t>
  </si>
  <si>
    <t>0,55% FOB O MÍNIMO U$S 100</t>
  </si>
  <si>
    <t>CTO CIF</t>
  </si>
  <si>
    <t>HONORARIOS DESPACHANTE ARG</t>
  </si>
  <si>
    <t>1% CIF O MÍNIMO U$S 300</t>
  </si>
  <si>
    <t>GTOS ADUANA COL</t>
  </si>
  <si>
    <t>BASE IMPONIBLE FACTURA COMERCIAL</t>
  </si>
  <si>
    <t>Agenciamiento Aduanal</t>
  </si>
  <si>
    <t>0,5% SOBRE CIF O MÍNIMO U$S 200</t>
  </si>
  <si>
    <t>Reconocimiento mercadería</t>
  </si>
  <si>
    <t>U$S 85</t>
  </si>
  <si>
    <t>Gtos administrativos</t>
  </si>
  <si>
    <t>U$S 80</t>
  </si>
  <si>
    <t>Declaración de importación</t>
  </si>
  <si>
    <t>U$S 40 por caja</t>
  </si>
  <si>
    <t>Declaración de valor</t>
  </si>
  <si>
    <t>Licencia de importación</t>
  </si>
  <si>
    <t>U$S 100 por caja</t>
  </si>
  <si>
    <t>Clasificación arancelaria</t>
  </si>
  <si>
    <t>U$S 50 por item</t>
  </si>
  <si>
    <t>Manejo</t>
  </si>
  <si>
    <t xml:space="preserve">U$S 70 </t>
  </si>
  <si>
    <t>GASTOS PORTUARIOS</t>
  </si>
  <si>
    <t>Terminal Handling Charge (THC)</t>
  </si>
  <si>
    <t>U$S 8 x TON MÍNIMO 30</t>
  </si>
  <si>
    <t>Movilización</t>
  </si>
  <si>
    <t>U$s 50 hasta 3 TON o 1 CBM</t>
  </si>
  <si>
    <t>Apertura y cierre</t>
  </si>
  <si>
    <t>U$S 10 por caja</t>
  </si>
  <si>
    <t>Inspección DIAN</t>
  </si>
  <si>
    <t>Bodegajes</t>
  </si>
  <si>
    <t>U$S 5 por CBM/TON por día (cálculo 3 días)</t>
  </si>
  <si>
    <t>DERECHOS COL</t>
  </si>
  <si>
    <t>Aranceles</t>
  </si>
  <si>
    <t>IVA</t>
  </si>
  <si>
    <t>19% sobre CIF</t>
  </si>
  <si>
    <t>FLETES</t>
  </si>
  <si>
    <t>U$S 350</t>
  </si>
  <si>
    <t>FLETE BOG - NOBSA</t>
  </si>
  <si>
    <t>U$S 650</t>
  </si>
  <si>
    <t>GTOS LOCALES COL</t>
  </si>
  <si>
    <t xml:space="preserve">3 CAJONES </t>
  </si>
  <si>
    <t>BULTOS / ÍTEMS</t>
  </si>
  <si>
    <t xml:space="preserve">15% sobre CIF </t>
  </si>
  <si>
    <t>FLETE CARTAGENA - BOG</t>
  </si>
  <si>
    <t xml:space="preserve">Stripping </t>
  </si>
  <si>
    <t>U$S 23 CMB/TON O MÍNIMO U$S 70</t>
  </si>
  <si>
    <t xml:space="preserve">HBL Transmition </t>
  </si>
  <si>
    <t>U$S 60</t>
  </si>
  <si>
    <t>Documentation</t>
  </si>
  <si>
    <t>Release Fee</t>
  </si>
  <si>
    <t>U$S 35</t>
  </si>
  <si>
    <t>Use of Facilities</t>
  </si>
  <si>
    <t>U$S 4,5 CBM/TON O MÍNIMO U$S 20</t>
  </si>
  <si>
    <t>Storage</t>
  </si>
  <si>
    <t>U$S 3,5 CBM/TON O MÍNIMO U$S 15</t>
  </si>
  <si>
    <t xml:space="preserve">Collect Fee </t>
  </si>
  <si>
    <t>U$S 0,5 o MÍNIMO U$S 40</t>
  </si>
  <si>
    <t>CTO DDP</t>
  </si>
  <si>
    <t>BOGOTÁ</t>
  </si>
  <si>
    <t>NOBSA</t>
  </si>
  <si>
    <t>CARTAGENA -BOG</t>
  </si>
  <si>
    <t>CARTAGENA - NOBSA</t>
  </si>
  <si>
    <t>DÍAS A BOGOTÁ</t>
  </si>
  <si>
    <t>DÍAS</t>
  </si>
  <si>
    <t>DÍAS A NOBSA</t>
  </si>
  <si>
    <t>TRAMOS</t>
  </si>
  <si>
    <t>Embalaje</t>
  </si>
  <si>
    <t>U$S por cajón</t>
  </si>
  <si>
    <t>COSTO TOTAL DDP NOBSA</t>
  </si>
  <si>
    <t>GANANCIA ESPERADA</t>
  </si>
  <si>
    <t>PRECIO FINAL DE LOS PROD</t>
  </si>
  <si>
    <t>SE APLICA MÍNIMO 1 CBM</t>
  </si>
  <si>
    <t>U$S 15 por cajón</t>
  </si>
  <si>
    <t>FLETE BUE - CTG</t>
  </si>
  <si>
    <t>SE APLICA MÍNIMO UN CBM</t>
  </si>
  <si>
    <t>VÁLVULA DE BLOQUEO 1/2</t>
  </si>
  <si>
    <t>84.81.3000</t>
  </si>
  <si>
    <t>85 U x U$S 30</t>
  </si>
  <si>
    <t>U$S 8 x TON MÍNIMO U$S 30</t>
  </si>
  <si>
    <t>U$S 50 hasta 3 TON o 1 CBM</t>
  </si>
  <si>
    <t>VÁLVULA RG1000</t>
  </si>
  <si>
    <t>84.81.1000</t>
  </si>
  <si>
    <t>38 U x U$S 65</t>
  </si>
  <si>
    <t>U$S 45 x m3/TON</t>
  </si>
  <si>
    <t>GANANCIA</t>
  </si>
  <si>
    <t>MANGO</t>
  </si>
  <si>
    <t>COSTO</t>
  </si>
  <si>
    <t>PRECIO</t>
  </si>
  <si>
    <t>EXW</t>
  </si>
  <si>
    <t>FOB</t>
  </si>
  <si>
    <t>CIF</t>
  </si>
  <si>
    <t>DDP</t>
  </si>
  <si>
    <t>VÁLVULA DE BLOQUEO</t>
  </si>
  <si>
    <t>LOS 3 PRODUCTOS</t>
  </si>
  <si>
    <t>PRECIO U</t>
  </si>
  <si>
    <t>PRODUCTO</t>
  </si>
  <si>
    <t>PESO x U (KG)</t>
  </si>
  <si>
    <t>COSTO x U (U$S)</t>
  </si>
  <si>
    <t>CANTIDAD POR CAJÓN</t>
  </si>
  <si>
    <t>PESO NETO (KG)</t>
  </si>
  <si>
    <t>PESO BRUTO (KG)</t>
  </si>
  <si>
    <t>VALOR DECLARADO U$S</t>
  </si>
  <si>
    <t>84.79.9090</t>
  </si>
  <si>
    <t>TOTALES</t>
  </si>
  <si>
    <t xml:space="preserve">CAJON </t>
  </si>
  <si>
    <t>50x50x50cm</t>
  </si>
  <si>
    <t>KG</t>
  </si>
  <si>
    <t>0,125 CBM</t>
  </si>
  <si>
    <t>V B</t>
  </si>
  <si>
    <t>ENVÍO MARÍTIMO LCL</t>
  </si>
  <si>
    <t>CTO %</t>
  </si>
  <si>
    <t>GASTOS FINANCIEROS</t>
  </si>
  <si>
    <t>Gtos bancarios por transferencia</t>
  </si>
  <si>
    <t>0,2% o mínimo U$S 40 + U$S 6 formulario</t>
  </si>
  <si>
    <t>COSTO ENVÍO DE LOS TRES CAJONES JUNTOS</t>
  </si>
  <si>
    <t>LOS TRES PRODUCTOS JUNTOS</t>
  </si>
  <si>
    <t>COSTO ENVÍO DE UN CAJÓN CON MANGOS</t>
  </si>
  <si>
    <t>CÁLCULO DE PRECIOS FINALES POR PRODUCTOS - ENVÍO MARÍTIMO</t>
  </si>
  <si>
    <t>CARACTERÍSTICAS Y COMPOSICIÓN DE LOS CAJONES A EXPORTAR</t>
  </si>
  <si>
    <t>V R</t>
  </si>
  <si>
    <t>COSTO ENVÍO DE UN CAJÓN CON REGULADORES</t>
  </si>
  <si>
    <t xml:space="preserve">COSTO ENVÍO DE UN CAJÓN CON VÁLVULAS </t>
  </si>
  <si>
    <t xml:space="preserve">VÁLVULA </t>
  </si>
  <si>
    <t>REGULADOR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</si>
</sst>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EF8A4"/>
        <bgColor indexed="64"/>
      </patternFill>
    </fill>
    <fill>
      <patternFill patternType="solid">
        <fgColor rgb="FFFDF25F"/>
        <bgColor indexed="64"/>
      </patternFill>
    </fill>
    <fill>
      <patternFill patternType="solid">
        <fgColor rgb="FFFDF47B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3" borderId="4" xfId="0" applyFill="1" applyBorder="1"/>
    <xf numFmtId="0" fontId="0" fillId="4" borderId="1" xfId="0" applyFill="1" applyBorder="1"/>
    <xf numFmtId="0" fontId="1" fillId="0" borderId="0" xfId="0" applyFont="1" applyFill="1"/>
    <xf numFmtId="0" fontId="0" fillId="0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0" fontId="0" fillId="0" borderId="2" xfId="0" applyFill="1" applyBorder="1" applyAlignment="1">
      <alignment horizontal="left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0" fillId="0" borderId="0" xfId="0" applyFill="1" applyBorder="1"/>
    <xf numFmtId="9" fontId="0" fillId="0" borderId="1" xfId="0" applyNumberFormat="1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ill="1" applyBorder="1"/>
    <xf numFmtId="9" fontId="0" fillId="4" borderId="1" xfId="0" applyNumberFormat="1" applyFill="1" applyBorder="1"/>
    <xf numFmtId="0" fontId="0" fillId="0" borderId="0" xfId="0" applyFont="1" applyFill="1"/>
    <xf numFmtId="10" fontId="0" fillId="0" borderId="1" xfId="0" applyNumberFormat="1" applyFill="1" applyBorder="1"/>
    <xf numFmtId="2" fontId="0" fillId="0" borderId="0" xfId="0" applyNumberFormat="1" applyFill="1"/>
    <xf numFmtId="0" fontId="0" fillId="0" borderId="0" xfId="0" applyNumberFormat="1" applyFill="1"/>
    <xf numFmtId="9" fontId="0" fillId="0" borderId="0" xfId="0" applyNumberFormat="1" applyFill="1"/>
    <xf numFmtId="2" fontId="0" fillId="0" borderId="3" xfId="0" applyNumberFormat="1" applyFill="1" applyBorder="1"/>
    <xf numFmtId="2" fontId="0" fillId="0" borderId="7" xfId="0" applyNumberFormat="1" applyFill="1" applyBorder="1"/>
    <xf numFmtId="2" fontId="0" fillId="4" borderId="1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9" fontId="0" fillId="5" borderId="1" xfId="0" applyNumberFormat="1" applyFill="1" applyBorder="1"/>
    <xf numFmtId="9" fontId="0" fillId="4" borderId="6" xfId="0" applyNumberFormat="1" applyFill="1" applyBorder="1"/>
    <xf numFmtId="2" fontId="0" fillId="0" borderId="4" xfId="0" applyNumberFormat="1" applyFill="1" applyBorder="1"/>
    <xf numFmtId="0" fontId="0" fillId="0" borderId="8" xfId="0" applyFill="1" applyBorder="1"/>
    <xf numFmtId="0" fontId="0" fillId="0" borderId="6" xfId="0" applyFill="1" applyBorder="1"/>
    <xf numFmtId="2" fontId="0" fillId="0" borderId="2" xfId="0" applyNumberFormat="1" applyFill="1" applyBorder="1"/>
    <xf numFmtId="9" fontId="0" fillId="0" borderId="2" xfId="0" applyNumberFormat="1" applyFill="1" applyBorder="1"/>
    <xf numFmtId="2" fontId="0" fillId="0" borderId="6" xfId="0" applyNumberFormat="1" applyFill="1" applyBorder="1"/>
    <xf numFmtId="0" fontId="0" fillId="0" borderId="5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F8A4"/>
      <color rgb="FFFDF25F"/>
      <color rgb="FFFDF47B"/>
      <color rgb="FFFADD06"/>
      <color rgb="FFFFFF99"/>
      <color rgb="FFFCFF8B"/>
      <color rgb="FFF4FC8E"/>
      <color rgb="FFF8E8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workbookViewId="0">
      <selection activeCell="B9" sqref="B9"/>
    </sheetView>
  </sheetViews>
  <sheetFormatPr baseColWidth="10" defaultRowHeight="15" x14ac:dyDescent="0.25"/>
  <cols>
    <col min="1" max="1" width="2.7109375" customWidth="1"/>
    <col min="2" max="2" width="40" bestFit="1" customWidth="1"/>
    <col min="3" max="3" width="12.7109375" bestFit="1" customWidth="1"/>
    <col min="4" max="4" width="15.140625" customWidth="1"/>
    <col min="5" max="5" width="18.140625" customWidth="1"/>
    <col min="6" max="6" width="15.140625" bestFit="1" customWidth="1"/>
    <col min="7" max="7" width="16.42578125" bestFit="1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9" t="s">
        <v>159</v>
      </c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45" x14ac:dyDescent="0.25">
      <c r="A5" s="1"/>
      <c r="B5" s="15" t="s">
        <v>136</v>
      </c>
      <c r="C5" s="16" t="s">
        <v>137</v>
      </c>
      <c r="D5" s="16" t="s">
        <v>138</v>
      </c>
      <c r="E5" s="16" t="s">
        <v>139</v>
      </c>
      <c r="F5" s="16" t="s">
        <v>140</v>
      </c>
      <c r="G5" s="16" t="s">
        <v>141</v>
      </c>
      <c r="H5" s="16" t="s">
        <v>142</v>
      </c>
      <c r="I5" s="16" t="s">
        <v>34</v>
      </c>
      <c r="J5" s="1"/>
      <c r="K5" s="1"/>
    </row>
    <row r="6" spans="1:11" x14ac:dyDescent="0.25">
      <c r="A6" s="1"/>
      <c r="B6" s="5" t="s">
        <v>1</v>
      </c>
      <c r="C6" s="10">
        <v>1.66</v>
      </c>
      <c r="D6" s="11">
        <v>52</v>
      </c>
      <c r="E6" s="10">
        <v>100</v>
      </c>
      <c r="F6" s="10">
        <f>E6*C6</f>
        <v>166</v>
      </c>
      <c r="G6" s="10">
        <f>F6+E11</f>
        <v>181</v>
      </c>
      <c r="H6" s="10">
        <f>PRODUCT(E6,D6)</f>
        <v>5200</v>
      </c>
      <c r="I6" s="12" t="s">
        <v>143</v>
      </c>
      <c r="J6" s="1"/>
      <c r="K6" s="1"/>
    </row>
    <row r="7" spans="1:11" x14ac:dyDescent="0.25">
      <c r="A7" s="1"/>
      <c r="B7" s="5" t="s">
        <v>163</v>
      </c>
      <c r="C7" s="10">
        <v>1.4</v>
      </c>
      <c r="D7" s="11">
        <v>30</v>
      </c>
      <c r="E7" s="10">
        <v>85</v>
      </c>
      <c r="F7" s="10">
        <f>E7*C7</f>
        <v>118.99999999999999</v>
      </c>
      <c r="G7" s="10">
        <f>F7+E11</f>
        <v>134</v>
      </c>
      <c r="H7" s="10">
        <f t="shared" ref="H7:H8" si="0">PRODUCT(E7,D7)</f>
        <v>2550</v>
      </c>
      <c r="I7" s="12" t="s">
        <v>117</v>
      </c>
      <c r="J7" s="1"/>
      <c r="K7" s="1"/>
    </row>
    <row r="8" spans="1:11" x14ac:dyDescent="0.25">
      <c r="A8" s="1"/>
      <c r="B8" s="5" t="s">
        <v>164</v>
      </c>
      <c r="C8" s="10">
        <v>2.4</v>
      </c>
      <c r="D8" s="11">
        <v>65</v>
      </c>
      <c r="E8" s="10">
        <v>38</v>
      </c>
      <c r="F8" s="10">
        <f>E8*C8</f>
        <v>91.2</v>
      </c>
      <c r="G8" s="10">
        <f>F8+E11</f>
        <v>106.2</v>
      </c>
      <c r="H8" s="10">
        <f t="shared" si="0"/>
        <v>2470</v>
      </c>
      <c r="I8" s="12" t="s">
        <v>122</v>
      </c>
      <c r="J8" s="1"/>
      <c r="K8" s="1"/>
    </row>
    <row r="9" spans="1:11" x14ac:dyDescent="0.25">
      <c r="A9" s="1"/>
      <c r="B9" s="1"/>
      <c r="C9" s="1"/>
      <c r="D9" s="1"/>
      <c r="E9" s="1"/>
      <c r="F9" s="2" t="s">
        <v>144</v>
      </c>
      <c r="G9" s="4">
        <f>SUM(G6:G8)</f>
        <v>421.2</v>
      </c>
      <c r="H9" s="4">
        <f>SUM(H6:H8)</f>
        <v>10220</v>
      </c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8" t="s">
        <v>145</v>
      </c>
      <c r="C11" s="12" t="s">
        <v>146</v>
      </c>
      <c r="D11" s="13" t="s">
        <v>148</v>
      </c>
      <c r="E11" s="13">
        <v>15</v>
      </c>
      <c r="F11" s="14" t="s">
        <v>147</v>
      </c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</sheetData>
  <sheetProtection sheet="1" objects="1" scenarios="1"/>
  <pageMargins left="0.7" right="0.7" top="0.75" bottom="0.75" header="0.3" footer="0.3"/>
  <pageSetup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workbookViewId="0">
      <selection activeCell="F11" sqref="F11"/>
    </sheetView>
  </sheetViews>
  <sheetFormatPr baseColWidth="10" defaultRowHeight="15" x14ac:dyDescent="0.25"/>
  <cols>
    <col min="1" max="1" width="1.7109375" customWidth="1"/>
    <col min="2" max="2" width="33" customWidth="1"/>
    <col min="6" max="6" width="48.85546875" customWidth="1"/>
    <col min="8" max="8" width="27.42578125" customWidth="1"/>
  </cols>
  <sheetData>
    <row r="1" spans="1:12" x14ac:dyDescent="0.25">
      <c r="A1" s="1"/>
      <c r="B1" s="9" t="s">
        <v>155</v>
      </c>
      <c r="C1" s="1"/>
      <c r="D1" s="1"/>
      <c r="E1" s="1"/>
      <c r="F1" s="1"/>
      <c r="G1" s="1"/>
      <c r="H1" s="18"/>
      <c r="I1" s="18"/>
      <c r="J1" s="18"/>
      <c r="K1" s="1"/>
      <c r="L1" s="1"/>
    </row>
    <row r="2" spans="1:12" x14ac:dyDescent="0.25">
      <c r="A2" s="1"/>
      <c r="B2" s="9" t="s">
        <v>150</v>
      </c>
      <c r="C2" s="26" t="s">
        <v>0</v>
      </c>
      <c r="D2" s="1"/>
      <c r="E2" s="1"/>
      <c r="F2" s="1"/>
      <c r="G2" s="1"/>
      <c r="H2" s="18"/>
      <c r="I2" s="18"/>
      <c r="J2" s="18"/>
      <c r="K2" s="1"/>
      <c r="L2" s="1"/>
    </row>
    <row r="3" spans="1:12" ht="15.75" customHeight="1" x14ac:dyDescent="0.25">
      <c r="A3" s="1"/>
      <c r="B3" s="15" t="s">
        <v>81</v>
      </c>
      <c r="C3" s="15"/>
      <c r="D3" s="15"/>
      <c r="E3" s="33"/>
      <c r="F3" s="15" t="s">
        <v>2</v>
      </c>
      <c r="G3" s="34" t="s">
        <v>151</v>
      </c>
      <c r="H3" s="34" t="s">
        <v>156</v>
      </c>
      <c r="I3" s="35"/>
      <c r="J3" s="18"/>
      <c r="K3" s="1"/>
      <c r="L3" s="1"/>
    </row>
    <row r="4" spans="1:12" x14ac:dyDescent="0.25">
      <c r="A4" s="1"/>
      <c r="B4" s="6" t="s">
        <v>107</v>
      </c>
      <c r="C4" s="2">
        <v>15</v>
      </c>
      <c r="D4" s="2"/>
      <c r="E4" s="24">
        <f>PRODUCT(C4,I7)</f>
        <v>45</v>
      </c>
      <c r="F4" s="2" t="s">
        <v>108</v>
      </c>
      <c r="G4" s="1"/>
      <c r="H4" s="7" t="s">
        <v>6</v>
      </c>
      <c r="I4" s="21">
        <v>10220</v>
      </c>
      <c r="J4" s="19">
        <v>1</v>
      </c>
      <c r="K4" s="1"/>
      <c r="L4" s="1"/>
    </row>
    <row r="5" spans="1:12" x14ac:dyDescent="0.25">
      <c r="A5" s="1"/>
      <c r="B5" s="17" t="s">
        <v>152</v>
      </c>
      <c r="C5" s="2"/>
      <c r="D5" s="2"/>
      <c r="E5" s="24"/>
      <c r="F5" s="2"/>
      <c r="G5" s="1"/>
      <c r="H5" s="6" t="s">
        <v>8</v>
      </c>
      <c r="I5" s="2">
        <v>0.42120000000000002</v>
      </c>
      <c r="J5" s="18"/>
      <c r="K5" s="1"/>
      <c r="L5" s="1"/>
    </row>
    <row r="6" spans="1:12" x14ac:dyDescent="0.25">
      <c r="A6" s="1"/>
      <c r="B6" s="6" t="s">
        <v>153</v>
      </c>
      <c r="C6" s="27">
        <v>2E-3</v>
      </c>
      <c r="D6" s="2"/>
      <c r="E6" s="24">
        <f>MAX((I4+E4)*C6,40)+6</f>
        <v>46</v>
      </c>
      <c r="F6" s="2" t="s">
        <v>154</v>
      </c>
      <c r="G6" s="1"/>
      <c r="H6" s="6" t="s">
        <v>11</v>
      </c>
      <c r="I6" s="2">
        <v>0.38</v>
      </c>
      <c r="J6" s="2">
        <v>1</v>
      </c>
      <c r="K6" s="1"/>
      <c r="L6" s="1"/>
    </row>
    <row r="7" spans="1:12" x14ac:dyDescent="0.25">
      <c r="A7" s="1"/>
      <c r="B7" s="6"/>
      <c r="C7" s="2"/>
      <c r="D7" s="17" t="s">
        <v>4</v>
      </c>
      <c r="E7" s="24">
        <f>I4+E4+E6</f>
        <v>10311</v>
      </c>
      <c r="F7" s="2" t="s">
        <v>5</v>
      </c>
      <c r="G7" s="37">
        <f>E7*J4/I4</f>
        <v>1.0089041095890412</v>
      </c>
      <c r="H7" s="6" t="s">
        <v>82</v>
      </c>
      <c r="I7" s="2">
        <v>3</v>
      </c>
      <c r="J7" s="18"/>
      <c r="K7" s="1"/>
      <c r="L7" s="1"/>
    </row>
    <row r="8" spans="1:12" x14ac:dyDescent="0.25">
      <c r="A8" s="1"/>
      <c r="B8" s="17" t="s">
        <v>7</v>
      </c>
      <c r="C8" s="2"/>
      <c r="D8" s="2"/>
      <c r="E8" s="24"/>
      <c r="F8" s="2"/>
      <c r="G8" s="1"/>
      <c r="H8" s="2"/>
      <c r="I8" s="2"/>
      <c r="J8" s="18"/>
      <c r="K8" s="1"/>
      <c r="L8" s="1"/>
    </row>
    <row r="9" spans="1:12" x14ac:dyDescent="0.25">
      <c r="A9" s="1"/>
      <c r="B9" s="6" t="s">
        <v>9</v>
      </c>
      <c r="C9" s="2"/>
      <c r="D9" s="2"/>
      <c r="E9" s="24">
        <f>PRODUCT(35*1)+(35*21%)</f>
        <v>42.35</v>
      </c>
      <c r="F9" s="2" t="s">
        <v>10</v>
      </c>
      <c r="G9" s="1"/>
      <c r="H9" s="6" t="s">
        <v>106</v>
      </c>
      <c r="I9" s="4" t="s">
        <v>104</v>
      </c>
      <c r="J9" s="18"/>
      <c r="K9" s="1"/>
      <c r="L9" s="1"/>
    </row>
    <row r="10" spans="1:12" x14ac:dyDescent="0.25">
      <c r="A10" s="1"/>
      <c r="B10" s="6" t="s">
        <v>12</v>
      </c>
      <c r="C10" s="2"/>
      <c r="D10" s="2"/>
      <c r="E10" s="24">
        <f>60+(60*21%)</f>
        <v>72.599999999999994</v>
      </c>
      <c r="F10" s="2" t="s">
        <v>13</v>
      </c>
      <c r="G10" s="1"/>
      <c r="H10" s="6" t="s">
        <v>20</v>
      </c>
      <c r="I10" s="4">
        <v>45</v>
      </c>
      <c r="J10" s="18"/>
      <c r="K10" s="1"/>
      <c r="L10" s="1"/>
    </row>
    <row r="11" spans="1:12" x14ac:dyDescent="0.25">
      <c r="A11" s="1"/>
      <c r="B11" s="6" t="s">
        <v>14</v>
      </c>
      <c r="C11" s="2"/>
      <c r="D11" s="2"/>
      <c r="E11" s="24">
        <f>75+(75*21%)</f>
        <v>90.75</v>
      </c>
      <c r="F11" s="2" t="s">
        <v>15</v>
      </c>
      <c r="G11" s="1"/>
      <c r="H11" s="6" t="s">
        <v>101</v>
      </c>
      <c r="I11" s="4">
        <v>2</v>
      </c>
      <c r="J11" s="18"/>
      <c r="K11" s="1"/>
      <c r="L11" s="1"/>
    </row>
    <row r="12" spans="1:12" x14ac:dyDescent="0.25">
      <c r="A12" s="1"/>
      <c r="B12" s="6" t="s">
        <v>16</v>
      </c>
      <c r="C12" s="2"/>
      <c r="D12" s="2"/>
      <c r="E12" s="24">
        <f>45+(45*21%)</f>
        <v>54.45</v>
      </c>
      <c r="F12" s="2" t="s">
        <v>17</v>
      </c>
      <c r="G12" s="1"/>
      <c r="H12" s="6" t="s">
        <v>24</v>
      </c>
      <c r="I12" s="4">
        <v>2</v>
      </c>
      <c r="J12" s="18"/>
      <c r="K12" s="1"/>
      <c r="L12" s="1"/>
    </row>
    <row r="13" spans="1:12" x14ac:dyDescent="0.25">
      <c r="A13" s="1"/>
      <c r="B13" s="6" t="s">
        <v>18</v>
      </c>
      <c r="C13" s="2"/>
      <c r="D13" s="2"/>
      <c r="E13" s="24">
        <f>100+(100*21%)</f>
        <v>121</v>
      </c>
      <c r="F13" s="2" t="s">
        <v>19</v>
      </c>
      <c r="G13" s="1"/>
      <c r="H13" s="6" t="s">
        <v>27</v>
      </c>
      <c r="I13" s="4">
        <v>5</v>
      </c>
      <c r="J13" s="18"/>
      <c r="K13" s="1"/>
      <c r="L13" s="1"/>
    </row>
    <row r="14" spans="1:12" x14ac:dyDescent="0.25">
      <c r="A14" s="1"/>
      <c r="B14" s="6" t="s">
        <v>21</v>
      </c>
      <c r="C14" s="2"/>
      <c r="D14" s="2"/>
      <c r="E14" s="24"/>
      <c r="F14" s="2"/>
      <c r="G14" s="1"/>
      <c r="H14" s="6" t="s">
        <v>103</v>
      </c>
      <c r="I14" s="4">
        <f>SUM(I10:I13)</f>
        <v>54</v>
      </c>
      <c r="J14" s="18"/>
      <c r="K14" s="1"/>
      <c r="L14" s="1"/>
    </row>
    <row r="15" spans="1:12" x14ac:dyDescent="0.25">
      <c r="A15" s="1"/>
      <c r="B15" s="6" t="s">
        <v>22</v>
      </c>
      <c r="C15" s="2"/>
      <c r="D15" s="2"/>
      <c r="E15" s="24">
        <f>400+400*21%</f>
        <v>484</v>
      </c>
      <c r="F15" s="2" t="s">
        <v>23</v>
      </c>
      <c r="G15" s="1"/>
      <c r="H15" s="2"/>
      <c r="I15" s="4"/>
      <c r="J15" s="18"/>
      <c r="K15" s="1"/>
      <c r="L15" s="1"/>
    </row>
    <row r="16" spans="1:12" x14ac:dyDescent="0.25">
      <c r="A16" s="1"/>
      <c r="B16" s="6" t="s">
        <v>25</v>
      </c>
      <c r="C16" s="2"/>
      <c r="D16" s="2"/>
      <c r="E16" s="24">
        <f>150+150*21%</f>
        <v>181.5</v>
      </c>
      <c r="F16" s="2" t="s">
        <v>26</v>
      </c>
      <c r="G16" s="1"/>
      <c r="H16" s="6" t="s">
        <v>102</v>
      </c>
      <c r="I16" s="4">
        <v>2</v>
      </c>
      <c r="J16" s="18"/>
      <c r="K16" s="1"/>
      <c r="L16" s="1"/>
    </row>
    <row r="17" spans="1:12" x14ac:dyDescent="0.25">
      <c r="A17" s="1"/>
      <c r="B17" s="6" t="s">
        <v>28</v>
      </c>
      <c r="C17" s="2"/>
      <c r="D17" s="2"/>
      <c r="E17" s="24">
        <f>125+125*21%</f>
        <v>151.25</v>
      </c>
      <c r="F17" s="2" t="s">
        <v>29</v>
      </c>
      <c r="G17" s="1"/>
      <c r="H17" s="6" t="s">
        <v>24</v>
      </c>
      <c r="I17" s="4">
        <v>2</v>
      </c>
      <c r="J17" s="18"/>
      <c r="K17" s="1"/>
      <c r="L17" s="1"/>
    </row>
    <row r="18" spans="1:12" x14ac:dyDescent="0.25">
      <c r="A18" s="1"/>
      <c r="B18" s="6" t="s">
        <v>30</v>
      </c>
      <c r="C18" s="2">
        <v>45</v>
      </c>
      <c r="D18" s="2"/>
      <c r="E18" s="24">
        <f>PRODUCT(C18*1)</f>
        <v>45</v>
      </c>
      <c r="F18" s="2" t="s">
        <v>31</v>
      </c>
      <c r="G18" s="1"/>
      <c r="H18" s="6" t="s">
        <v>27</v>
      </c>
      <c r="I18" s="4">
        <v>5</v>
      </c>
      <c r="J18" s="18"/>
      <c r="K18" s="1"/>
      <c r="L18" s="1"/>
    </row>
    <row r="19" spans="1:12" x14ac:dyDescent="0.25">
      <c r="A19" s="1"/>
      <c r="B19" s="6"/>
      <c r="C19" s="2"/>
      <c r="D19" s="17" t="s">
        <v>32</v>
      </c>
      <c r="E19" s="24">
        <f>SUM(E7:E18)</f>
        <v>11553.900000000001</v>
      </c>
      <c r="F19" s="2"/>
      <c r="G19" s="1"/>
      <c r="H19" s="6" t="s">
        <v>105</v>
      </c>
      <c r="I19" s="4">
        <f>SUM(I10,I16:I18)</f>
        <v>54</v>
      </c>
      <c r="J19" s="18"/>
      <c r="K19" s="1"/>
      <c r="L19" s="1"/>
    </row>
    <row r="20" spans="1:12" x14ac:dyDescent="0.25">
      <c r="A20" s="1"/>
      <c r="B20" s="17" t="s">
        <v>33</v>
      </c>
      <c r="C20" s="2"/>
      <c r="D20" s="2"/>
      <c r="E20" s="24"/>
      <c r="F20" s="2"/>
      <c r="G20" s="1"/>
      <c r="H20" s="18"/>
      <c r="I20" s="18"/>
      <c r="J20" s="18"/>
      <c r="K20" s="1"/>
      <c r="L20" s="1"/>
    </row>
    <row r="21" spans="1:12" x14ac:dyDescent="0.25">
      <c r="A21" s="1"/>
      <c r="B21" s="6" t="s">
        <v>34</v>
      </c>
      <c r="C21" s="19">
        <v>0.12</v>
      </c>
      <c r="D21" s="2"/>
      <c r="E21" s="24">
        <f>MIN((I4*C21),(((E19+I4*12%)*3))/45)</f>
        <v>852.02</v>
      </c>
      <c r="F21" s="2" t="s">
        <v>35</v>
      </c>
      <c r="G21" s="1"/>
      <c r="H21" s="18"/>
      <c r="I21" s="18"/>
      <c r="J21" s="18"/>
      <c r="K21" s="1"/>
      <c r="L21" s="1"/>
    </row>
    <row r="22" spans="1:12" x14ac:dyDescent="0.25">
      <c r="A22" s="1"/>
      <c r="B22" s="6" t="s">
        <v>36</v>
      </c>
      <c r="C22" s="27">
        <v>4.4999999999999998E-2</v>
      </c>
      <c r="D22" s="2"/>
      <c r="E22" s="24">
        <f>E19*C22</f>
        <v>519.92550000000006</v>
      </c>
      <c r="F22" s="2" t="s">
        <v>37</v>
      </c>
      <c r="G22" s="1"/>
      <c r="H22" s="1"/>
      <c r="I22" s="1"/>
      <c r="J22" s="1"/>
      <c r="K22" s="1"/>
      <c r="L22" s="1"/>
    </row>
    <row r="23" spans="1:12" x14ac:dyDescent="0.25">
      <c r="A23" s="1"/>
      <c r="B23" s="6"/>
      <c r="C23" s="19"/>
      <c r="D23" s="17" t="s">
        <v>38</v>
      </c>
      <c r="E23" s="24">
        <f>SUM(E19:E22)</f>
        <v>12925.845500000001</v>
      </c>
      <c r="F23" s="2"/>
      <c r="G23" s="25">
        <f>(E23*J4)/I4</f>
        <v>1.2647598336594914</v>
      </c>
      <c r="H23" s="1"/>
      <c r="I23" s="1"/>
      <c r="J23" s="1"/>
      <c r="K23" s="1"/>
      <c r="L23" s="1"/>
    </row>
    <row r="24" spans="1:12" x14ac:dyDescent="0.25">
      <c r="A24" s="1"/>
      <c r="B24" s="6" t="s">
        <v>114</v>
      </c>
      <c r="C24" s="2">
        <v>125</v>
      </c>
      <c r="D24" s="2"/>
      <c r="E24" s="2">
        <f>MAX((C24*1),225)</f>
        <v>225</v>
      </c>
      <c r="F24" s="2" t="s">
        <v>39</v>
      </c>
      <c r="G24" s="1"/>
      <c r="H24" s="1"/>
      <c r="I24" s="1"/>
      <c r="J24" s="1"/>
      <c r="K24" s="1"/>
      <c r="L24" s="1"/>
    </row>
    <row r="25" spans="1:12" x14ac:dyDescent="0.25">
      <c r="A25" s="1"/>
      <c r="B25" s="6" t="s">
        <v>40</v>
      </c>
      <c r="C25" s="27">
        <v>5.4999999999999997E-3</v>
      </c>
      <c r="D25" s="2"/>
      <c r="E25" s="2">
        <f>MAX((C25*E23),100)</f>
        <v>100</v>
      </c>
      <c r="F25" s="2" t="s">
        <v>41</v>
      </c>
      <c r="G25" s="1"/>
      <c r="H25" s="28"/>
      <c r="I25" s="1"/>
      <c r="J25" s="1"/>
      <c r="K25" s="1"/>
      <c r="L25" s="1"/>
    </row>
    <row r="26" spans="1:12" x14ac:dyDescent="0.25">
      <c r="A26" s="1"/>
      <c r="B26" s="6"/>
      <c r="C26" s="2"/>
      <c r="D26" s="17" t="s">
        <v>42</v>
      </c>
      <c r="E26" s="24">
        <f>SUM(E23:E25)</f>
        <v>13250.845500000001</v>
      </c>
      <c r="F26" s="2"/>
      <c r="G26" s="25">
        <f>(J4*E26)/I4</f>
        <v>1.2965602250489239</v>
      </c>
      <c r="H26" s="1"/>
      <c r="I26" s="1"/>
      <c r="J26" s="1"/>
      <c r="K26" s="1"/>
      <c r="L26" s="1"/>
    </row>
    <row r="27" spans="1:12" x14ac:dyDescent="0.25">
      <c r="A27" s="1"/>
      <c r="B27" s="6" t="s">
        <v>43</v>
      </c>
      <c r="C27" s="19">
        <v>0.01</v>
      </c>
      <c r="D27" s="2"/>
      <c r="E27" s="2">
        <f>MAX((C27*E26),300)</f>
        <v>300</v>
      </c>
      <c r="F27" s="2" t="s">
        <v>44</v>
      </c>
      <c r="G27" s="1"/>
      <c r="H27" s="29"/>
      <c r="I27" s="1"/>
      <c r="J27" s="1"/>
      <c r="K27" s="1"/>
      <c r="L27" s="1"/>
    </row>
    <row r="28" spans="1:12" x14ac:dyDescent="0.25">
      <c r="A28" s="1"/>
      <c r="B28" s="17" t="s">
        <v>45</v>
      </c>
      <c r="C28" s="2"/>
      <c r="D28" s="2"/>
      <c r="E28" s="2"/>
      <c r="F28" s="2" t="s">
        <v>46</v>
      </c>
      <c r="G28" s="1"/>
      <c r="H28" s="1"/>
      <c r="I28" s="1"/>
      <c r="J28" s="1"/>
      <c r="K28" s="1"/>
      <c r="L28" s="1"/>
    </row>
    <row r="29" spans="1:12" x14ac:dyDescent="0.25">
      <c r="A29" s="1"/>
      <c r="B29" s="6" t="s">
        <v>47</v>
      </c>
      <c r="C29" s="27">
        <v>5.0000000000000001E-3</v>
      </c>
      <c r="D29" s="2"/>
      <c r="E29" s="2">
        <f>MAX((C29*E26),200)</f>
        <v>200</v>
      </c>
      <c r="F29" s="2" t="s">
        <v>48</v>
      </c>
      <c r="G29" s="1"/>
      <c r="H29" s="1"/>
      <c r="I29" s="1"/>
      <c r="J29" s="1"/>
      <c r="K29" s="1"/>
      <c r="L29" s="1"/>
    </row>
    <row r="30" spans="1:12" x14ac:dyDescent="0.25">
      <c r="A30" s="1"/>
      <c r="B30" s="6" t="s">
        <v>49</v>
      </c>
      <c r="C30" s="2">
        <v>85</v>
      </c>
      <c r="D30" s="2"/>
      <c r="E30" s="2">
        <f t="shared" ref="E30:E36" si="0">C30</f>
        <v>85</v>
      </c>
      <c r="F30" s="2" t="s">
        <v>50</v>
      </c>
      <c r="G30" s="1"/>
      <c r="H30" s="1"/>
      <c r="I30" s="1"/>
      <c r="J30" s="1"/>
      <c r="K30" s="1"/>
      <c r="L30" s="1"/>
    </row>
    <row r="31" spans="1:12" x14ac:dyDescent="0.25">
      <c r="A31" s="1"/>
      <c r="B31" s="6" t="s">
        <v>51</v>
      </c>
      <c r="C31" s="2">
        <v>80</v>
      </c>
      <c r="D31" s="2"/>
      <c r="E31" s="2">
        <f t="shared" si="0"/>
        <v>80</v>
      </c>
      <c r="F31" s="2" t="s">
        <v>52</v>
      </c>
      <c r="G31" s="1"/>
      <c r="H31" s="1"/>
      <c r="I31" s="1"/>
      <c r="J31" s="1"/>
      <c r="K31" s="1"/>
      <c r="L31" s="1"/>
    </row>
    <row r="32" spans="1:12" x14ac:dyDescent="0.25">
      <c r="A32" s="1"/>
      <c r="B32" s="6" t="s">
        <v>53</v>
      </c>
      <c r="C32" s="2">
        <v>40</v>
      </c>
      <c r="D32" s="2"/>
      <c r="E32" s="2">
        <f>C32*I7</f>
        <v>120</v>
      </c>
      <c r="F32" s="2" t="s">
        <v>54</v>
      </c>
      <c r="G32" s="1"/>
      <c r="H32" s="1"/>
      <c r="I32" s="1"/>
      <c r="J32" s="1"/>
      <c r="K32" s="1"/>
      <c r="L32" s="1"/>
    </row>
    <row r="33" spans="1:12" x14ac:dyDescent="0.25">
      <c r="A33" s="1"/>
      <c r="B33" s="6" t="s">
        <v>55</v>
      </c>
      <c r="C33" s="2">
        <v>40</v>
      </c>
      <c r="D33" s="2"/>
      <c r="E33" s="2">
        <f>C33*I7</f>
        <v>120</v>
      </c>
      <c r="F33" s="2" t="s">
        <v>54</v>
      </c>
      <c r="G33" s="1"/>
      <c r="H33" s="1"/>
      <c r="I33" s="1"/>
      <c r="J33" s="1"/>
      <c r="K33" s="1"/>
      <c r="L33" s="1"/>
    </row>
    <row r="34" spans="1:12" x14ac:dyDescent="0.25">
      <c r="A34" s="1"/>
      <c r="B34" s="6" t="s">
        <v>56</v>
      </c>
      <c r="C34" s="2">
        <v>100</v>
      </c>
      <c r="D34" s="2"/>
      <c r="E34" s="2">
        <f>C34*I7</f>
        <v>300</v>
      </c>
      <c r="F34" s="2" t="s">
        <v>57</v>
      </c>
      <c r="G34" s="1"/>
      <c r="H34" s="1"/>
      <c r="I34" s="1"/>
      <c r="J34" s="1"/>
      <c r="K34" s="1"/>
      <c r="L34" s="1"/>
    </row>
    <row r="35" spans="1:12" x14ac:dyDescent="0.25">
      <c r="A35" s="1"/>
      <c r="B35" s="6" t="s">
        <v>58</v>
      </c>
      <c r="C35" s="2">
        <v>50</v>
      </c>
      <c r="D35" s="2"/>
      <c r="E35" s="2">
        <f>C35*I7</f>
        <v>150</v>
      </c>
      <c r="F35" s="2" t="s">
        <v>59</v>
      </c>
      <c r="G35" s="1"/>
      <c r="H35" s="1"/>
      <c r="I35" s="1"/>
      <c r="J35" s="1"/>
      <c r="K35" s="1"/>
      <c r="L35" s="1"/>
    </row>
    <row r="36" spans="1:12" x14ac:dyDescent="0.25">
      <c r="A36" s="1"/>
      <c r="B36" s="6" t="s">
        <v>60</v>
      </c>
      <c r="C36" s="2">
        <v>70</v>
      </c>
      <c r="D36" s="2"/>
      <c r="E36" s="2">
        <f t="shared" si="0"/>
        <v>70</v>
      </c>
      <c r="F36" s="2" t="s">
        <v>61</v>
      </c>
      <c r="G36" s="1"/>
      <c r="H36" s="1"/>
      <c r="I36" s="1"/>
      <c r="J36" s="1"/>
      <c r="K36" s="1"/>
      <c r="L36" s="1"/>
    </row>
    <row r="37" spans="1:12" x14ac:dyDescent="0.25">
      <c r="A37" s="1"/>
      <c r="B37" s="17" t="s">
        <v>62</v>
      </c>
      <c r="C37" s="2"/>
      <c r="D37" s="2"/>
      <c r="E37" s="2"/>
      <c r="F37" s="2"/>
      <c r="G37" s="1"/>
      <c r="H37" s="1"/>
      <c r="I37" s="1"/>
      <c r="J37" s="1"/>
      <c r="K37" s="1"/>
      <c r="L37" s="1"/>
    </row>
    <row r="38" spans="1:12" x14ac:dyDescent="0.25">
      <c r="A38" s="1"/>
      <c r="B38" s="6" t="s">
        <v>63</v>
      </c>
      <c r="C38" s="2">
        <v>8</v>
      </c>
      <c r="D38" s="2"/>
      <c r="E38" s="2">
        <f>MAX((C38*I5),30)</f>
        <v>30</v>
      </c>
      <c r="F38" s="2" t="s">
        <v>64</v>
      </c>
      <c r="G38" s="1"/>
      <c r="H38" s="1"/>
      <c r="I38" s="1"/>
      <c r="J38" s="1"/>
      <c r="K38" s="1"/>
      <c r="L38" s="1"/>
    </row>
    <row r="39" spans="1:12" x14ac:dyDescent="0.25">
      <c r="A39" s="1"/>
      <c r="B39" s="6" t="s">
        <v>65</v>
      </c>
      <c r="C39" s="2">
        <v>50</v>
      </c>
      <c r="D39" s="2"/>
      <c r="E39" s="2">
        <v>50</v>
      </c>
      <c r="F39" s="2" t="s">
        <v>66</v>
      </c>
      <c r="G39" s="1"/>
      <c r="H39" s="1"/>
      <c r="I39" s="1"/>
      <c r="J39" s="1"/>
      <c r="K39" s="1"/>
      <c r="L39" s="1"/>
    </row>
    <row r="40" spans="1:12" x14ac:dyDescent="0.25">
      <c r="A40" s="1"/>
      <c r="B40" s="6" t="s">
        <v>67</v>
      </c>
      <c r="C40" s="2">
        <v>10</v>
      </c>
      <c r="D40" s="2"/>
      <c r="E40" s="2">
        <f>C40*I7</f>
        <v>30</v>
      </c>
      <c r="F40" s="2" t="s">
        <v>68</v>
      </c>
      <c r="G40" s="1"/>
      <c r="H40" s="1"/>
      <c r="I40" s="1"/>
      <c r="J40" s="1"/>
      <c r="K40" s="1"/>
      <c r="L40" s="1"/>
    </row>
    <row r="41" spans="1:12" x14ac:dyDescent="0.25">
      <c r="A41" s="1"/>
      <c r="B41" s="6" t="s">
        <v>69</v>
      </c>
      <c r="C41" s="2">
        <v>80</v>
      </c>
      <c r="D41" s="2"/>
      <c r="E41" s="2">
        <v>80</v>
      </c>
      <c r="F41" s="2" t="s">
        <v>52</v>
      </c>
      <c r="G41" s="1"/>
      <c r="H41" s="1"/>
      <c r="I41" s="1"/>
      <c r="J41" s="1"/>
      <c r="K41" s="1"/>
      <c r="L41" s="1"/>
    </row>
    <row r="42" spans="1:12" x14ac:dyDescent="0.25">
      <c r="A42" s="1"/>
      <c r="B42" s="6" t="s">
        <v>70</v>
      </c>
      <c r="C42" s="2">
        <v>5</v>
      </c>
      <c r="D42" s="2"/>
      <c r="E42" s="24">
        <f>PRODUCT(C42,I5,I6,3)</f>
        <v>2.4008400000000001</v>
      </c>
      <c r="F42" s="2" t="s">
        <v>71</v>
      </c>
      <c r="G42" s="1"/>
      <c r="H42" s="1"/>
      <c r="I42" s="1"/>
      <c r="J42" s="1"/>
      <c r="K42" s="1"/>
      <c r="L42" s="1"/>
    </row>
    <row r="43" spans="1:12" x14ac:dyDescent="0.25">
      <c r="A43" s="1"/>
      <c r="B43" s="17" t="s">
        <v>72</v>
      </c>
      <c r="C43" s="2"/>
      <c r="D43" s="2"/>
      <c r="E43" s="2"/>
      <c r="F43" s="2"/>
      <c r="G43" s="1"/>
      <c r="H43" s="1"/>
      <c r="I43" s="1"/>
      <c r="J43" s="1"/>
      <c r="K43" s="1"/>
      <c r="L43" s="1"/>
    </row>
    <row r="44" spans="1:12" x14ac:dyDescent="0.25">
      <c r="A44" s="1"/>
      <c r="B44" s="6" t="s">
        <v>73</v>
      </c>
      <c r="C44" s="19">
        <v>0.15</v>
      </c>
      <c r="D44" s="2"/>
      <c r="E44" s="24">
        <f>(C44*E26)+(C44*E26)*19%</f>
        <v>2365.2759217500002</v>
      </c>
      <c r="F44" s="2" t="s">
        <v>83</v>
      </c>
      <c r="G44" s="1"/>
      <c r="H44" s="1"/>
      <c r="I44" s="1"/>
      <c r="J44" s="1"/>
      <c r="K44" s="1"/>
      <c r="L44" s="1"/>
    </row>
    <row r="45" spans="1:12" x14ac:dyDescent="0.25">
      <c r="A45" s="1"/>
      <c r="B45" s="6" t="s">
        <v>74</v>
      </c>
      <c r="C45" s="19">
        <v>0.19</v>
      </c>
      <c r="D45" s="2"/>
      <c r="E45" s="24">
        <f>C45*E26</f>
        <v>2517.6606450000004</v>
      </c>
      <c r="F45" s="2" t="s">
        <v>75</v>
      </c>
      <c r="G45" s="1"/>
      <c r="H45" s="1"/>
      <c r="I45" s="1"/>
      <c r="J45" s="1"/>
      <c r="K45" s="1"/>
      <c r="L45" s="1"/>
    </row>
    <row r="46" spans="1:12" x14ac:dyDescent="0.25">
      <c r="A46" s="1"/>
      <c r="B46" s="17" t="s">
        <v>80</v>
      </c>
      <c r="C46" s="2"/>
      <c r="D46" s="2"/>
      <c r="E46" s="2"/>
      <c r="F46" s="2"/>
      <c r="G46" s="1"/>
      <c r="H46" s="1"/>
      <c r="I46" s="1"/>
      <c r="J46" s="1"/>
      <c r="K46" s="1"/>
      <c r="L46" s="1"/>
    </row>
    <row r="47" spans="1:12" x14ac:dyDescent="0.25">
      <c r="A47" s="1"/>
      <c r="B47" s="6" t="s">
        <v>85</v>
      </c>
      <c r="C47" s="2">
        <v>23</v>
      </c>
      <c r="D47" s="2"/>
      <c r="E47" s="2">
        <f>C47*J6</f>
        <v>23</v>
      </c>
      <c r="F47" s="2" t="s">
        <v>86</v>
      </c>
      <c r="G47" s="1"/>
      <c r="H47" s="1"/>
      <c r="I47" s="1"/>
      <c r="J47" s="1"/>
      <c r="K47" s="1"/>
      <c r="L47" s="1"/>
    </row>
    <row r="48" spans="1:12" x14ac:dyDescent="0.25">
      <c r="A48" s="1"/>
      <c r="B48" s="6" t="s">
        <v>87</v>
      </c>
      <c r="C48" s="2">
        <v>60</v>
      </c>
      <c r="D48" s="2"/>
      <c r="E48" s="2">
        <f>C48</f>
        <v>60</v>
      </c>
      <c r="F48" s="2" t="s">
        <v>88</v>
      </c>
      <c r="G48" s="1"/>
      <c r="H48" s="1"/>
      <c r="I48" s="1"/>
      <c r="J48" s="1"/>
      <c r="K48" s="1"/>
      <c r="L48" s="1"/>
    </row>
    <row r="49" spans="1:12" x14ac:dyDescent="0.25">
      <c r="A49" s="1"/>
      <c r="B49" s="6" t="s">
        <v>89</v>
      </c>
      <c r="C49" s="2">
        <v>60</v>
      </c>
      <c r="D49" s="2"/>
      <c r="E49" s="2">
        <f>C49</f>
        <v>60</v>
      </c>
      <c r="F49" s="2" t="s">
        <v>88</v>
      </c>
      <c r="G49" s="1"/>
      <c r="H49" s="1"/>
      <c r="I49" s="1"/>
      <c r="J49" s="1"/>
      <c r="K49" s="1"/>
      <c r="L49" s="1"/>
    </row>
    <row r="50" spans="1:12" x14ac:dyDescent="0.25">
      <c r="A50" s="1"/>
      <c r="B50" s="6" t="s">
        <v>90</v>
      </c>
      <c r="C50" s="2">
        <v>35</v>
      </c>
      <c r="D50" s="2"/>
      <c r="E50" s="2">
        <f>C50</f>
        <v>35</v>
      </c>
      <c r="F50" s="2" t="s">
        <v>91</v>
      </c>
      <c r="G50" s="30"/>
      <c r="H50" s="1"/>
      <c r="I50" s="1"/>
      <c r="J50" s="1"/>
      <c r="K50" s="1"/>
      <c r="L50" s="1"/>
    </row>
    <row r="51" spans="1:12" x14ac:dyDescent="0.25">
      <c r="A51" s="1"/>
      <c r="B51" s="6" t="s">
        <v>92</v>
      </c>
      <c r="C51" s="2">
        <v>4.5</v>
      </c>
      <c r="D51" s="2"/>
      <c r="E51" s="24">
        <f>MAX((C51*J6),20)</f>
        <v>20</v>
      </c>
      <c r="F51" s="2" t="s">
        <v>93</v>
      </c>
      <c r="G51" s="1"/>
      <c r="H51" s="1"/>
      <c r="I51" s="1"/>
      <c r="J51" s="1"/>
      <c r="K51" s="1"/>
      <c r="L51" s="1"/>
    </row>
    <row r="52" spans="1:12" x14ac:dyDescent="0.25">
      <c r="A52" s="1"/>
      <c r="B52" s="6" t="s">
        <v>94</v>
      </c>
      <c r="C52" s="2">
        <v>3.5</v>
      </c>
      <c r="D52" s="2"/>
      <c r="E52" s="2">
        <f>MAX((C52*J6),15)</f>
        <v>15</v>
      </c>
      <c r="F52" s="2" t="s">
        <v>95</v>
      </c>
      <c r="G52" s="1"/>
      <c r="H52" s="1"/>
      <c r="I52" s="1"/>
      <c r="J52" s="1"/>
      <c r="K52" s="1"/>
      <c r="L52" s="1"/>
    </row>
    <row r="53" spans="1:12" x14ac:dyDescent="0.25">
      <c r="A53" s="1"/>
      <c r="B53" s="6" t="s">
        <v>96</v>
      </c>
      <c r="C53" s="19">
        <v>0.03</v>
      </c>
      <c r="D53" s="2"/>
      <c r="E53" s="24">
        <v>40</v>
      </c>
      <c r="F53" s="2" t="s">
        <v>97</v>
      </c>
      <c r="G53" s="1"/>
      <c r="H53" s="1"/>
      <c r="I53" s="1"/>
      <c r="J53" s="1"/>
      <c r="K53" s="1"/>
      <c r="L53" s="1"/>
    </row>
    <row r="54" spans="1:12" x14ac:dyDescent="0.25">
      <c r="A54" s="1"/>
      <c r="B54" s="17" t="s">
        <v>76</v>
      </c>
      <c r="C54" s="2"/>
      <c r="D54" s="2"/>
      <c r="E54" s="2"/>
      <c r="F54" s="2"/>
      <c r="G54" s="1"/>
      <c r="H54" s="1"/>
      <c r="I54" s="1"/>
      <c r="J54" s="1"/>
      <c r="K54" s="1"/>
      <c r="L54" s="1"/>
    </row>
    <row r="55" spans="1:12" x14ac:dyDescent="0.25">
      <c r="A55" s="1"/>
      <c r="B55" s="6" t="s">
        <v>84</v>
      </c>
      <c r="C55" s="2">
        <v>350</v>
      </c>
      <c r="D55" s="2"/>
      <c r="E55" s="2">
        <v>350</v>
      </c>
      <c r="F55" s="2" t="s">
        <v>77</v>
      </c>
      <c r="G55" s="1"/>
      <c r="H55" s="1"/>
      <c r="I55" s="1"/>
      <c r="J55" s="1"/>
      <c r="K55" s="1"/>
      <c r="L55" s="1"/>
    </row>
    <row r="56" spans="1:12" x14ac:dyDescent="0.25">
      <c r="A56" s="1"/>
      <c r="B56" s="6" t="s">
        <v>78</v>
      </c>
      <c r="C56" s="2">
        <v>650</v>
      </c>
      <c r="D56" s="2"/>
      <c r="E56" s="2">
        <v>650</v>
      </c>
      <c r="F56" s="2" t="s">
        <v>79</v>
      </c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7" t="s">
        <v>98</v>
      </c>
      <c r="E57" s="24">
        <f>SUM(E26:E55)</f>
        <v>20354.18290675</v>
      </c>
      <c r="F57" s="2" t="s">
        <v>99</v>
      </c>
      <c r="G57" s="25">
        <f>(E57*J4)/I4</f>
        <v>1.9916030241438356</v>
      </c>
      <c r="H57" s="1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31">
        <f>SUM(E26:E53,E56)</f>
        <v>20654.18290675</v>
      </c>
      <c r="F58" s="2" t="s">
        <v>100</v>
      </c>
      <c r="G58" s="25">
        <f>(E58*J4)/I4</f>
        <v>2.0209572315802347</v>
      </c>
      <c r="H58" s="1"/>
      <c r="I58" s="1"/>
      <c r="J58" s="1"/>
      <c r="K58" s="1"/>
      <c r="L58" s="1"/>
    </row>
    <row r="59" spans="1:12" x14ac:dyDescent="0.25">
      <c r="A59" s="1"/>
      <c r="B59" s="18"/>
      <c r="C59" s="30"/>
      <c r="D59" s="1"/>
      <c r="E59" s="32"/>
      <c r="F59" s="1"/>
      <c r="G59" s="1"/>
      <c r="H59" s="1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</sheetData>
  <sheetProtection sheet="1" objects="1" scenarios="1"/>
  <pageMargins left="0.25" right="0.25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workbookViewId="0">
      <selection activeCell="B15" sqref="B15"/>
    </sheetView>
  </sheetViews>
  <sheetFormatPr baseColWidth="10" defaultRowHeight="15" x14ac:dyDescent="0.25"/>
  <cols>
    <col min="1" max="1" width="2.140625" customWidth="1"/>
    <col min="2" max="2" width="35.140625" customWidth="1"/>
    <col min="6" max="6" width="49.42578125" customWidth="1"/>
    <col min="8" max="8" width="25.5703125" customWidth="1"/>
    <col min="9" max="9" width="11.85546875" bestFit="1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9" t="s">
        <v>157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9" t="s">
        <v>150</v>
      </c>
      <c r="C3" s="1" t="s">
        <v>112</v>
      </c>
      <c r="D3" s="1"/>
      <c r="E3" s="1"/>
      <c r="F3" s="1"/>
      <c r="G3" s="1"/>
      <c r="H3" s="1"/>
      <c r="I3" s="1"/>
      <c r="J3" s="1"/>
    </row>
    <row r="4" spans="1:10" x14ac:dyDescent="0.25">
      <c r="A4" s="1"/>
      <c r="B4" s="15" t="s">
        <v>1</v>
      </c>
      <c r="C4" s="15"/>
      <c r="D4" s="15"/>
      <c r="E4" s="33"/>
      <c r="F4" s="15" t="s">
        <v>2</v>
      </c>
      <c r="G4" s="34" t="s">
        <v>151</v>
      </c>
      <c r="H4" s="15" t="s">
        <v>1</v>
      </c>
      <c r="I4" s="35" t="s">
        <v>3</v>
      </c>
      <c r="J4" s="1"/>
    </row>
    <row r="5" spans="1:10" x14ac:dyDescent="0.25">
      <c r="A5" s="1"/>
      <c r="B5" s="7" t="s">
        <v>107</v>
      </c>
      <c r="C5" s="21">
        <v>15</v>
      </c>
      <c r="D5" s="21"/>
      <c r="E5" s="38">
        <v>15</v>
      </c>
      <c r="F5" s="21" t="s">
        <v>113</v>
      </c>
      <c r="G5" s="1"/>
      <c r="H5" s="17" t="s">
        <v>6</v>
      </c>
      <c r="I5" s="39">
        <v>5200</v>
      </c>
      <c r="J5" s="19">
        <v>1</v>
      </c>
    </row>
    <row r="6" spans="1:10" x14ac:dyDescent="0.25">
      <c r="A6" s="1"/>
      <c r="B6" s="17" t="s">
        <v>152</v>
      </c>
      <c r="C6" s="2"/>
      <c r="D6" s="2"/>
      <c r="E6" s="24"/>
      <c r="F6" s="2"/>
      <c r="G6" s="1"/>
      <c r="H6" s="17" t="s">
        <v>8</v>
      </c>
      <c r="I6" s="3">
        <v>0.18099999999999999</v>
      </c>
      <c r="J6" s="1"/>
    </row>
    <row r="7" spans="1:10" x14ac:dyDescent="0.25">
      <c r="A7" s="1"/>
      <c r="B7" s="6" t="s">
        <v>153</v>
      </c>
      <c r="C7" s="27">
        <v>2E-3</v>
      </c>
      <c r="D7" s="2"/>
      <c r="E7" s="24">
        <f>MAX((I5+E5)*C7,40)+6</f>
        <v>46</v>
      </c>
      <c r="F7" s="2" t="s">
        <v>154</v>
      </c>
      <c r="G7" s="1"/>
      <c r="H7" s="17" t="s">
        <v>11</v>
      </c>
      <c r="I7" s="3">
        <v>0.125</v>
      </c>
      <c r="J7" s="2">
        <v>1</v>
      </c>
    </row>
    <row r="8" spans="1:10" x14ac:dyDescent="0.25">
      <c r="A8" s="1"/>
      <c r="B8" s="6"/>
      <c r="C8" s="2"/>
      <c r="D8" s="17" t="s">
        <v>4</v>
      </c>
      <c r="E8" s="24">
        <f>I5+E5+E7</f>
        <v>5261</v>
      </c>
      <c r="F8" s="40" t="s">
        <v>5</v>
      </c>
      <c r="G8" s="36">
        <f>E8*J5/I5</f>
        <v>1.0117307692307693</v>
      </c>
      <c r="H8" s="18"/>
      <c r="I8" s="1"/>
      <c r="J8" s="1"/>
    </row>
    <row r="9" spans="1:10" x14ac:dyDescent="0.25">
      <c r="A9" s="1"/>
      <c r="B9" s="17" t="s">
        <v>7</v>
      </c>
      <c r="C9" s="2"/>
      <c r="D9" s="2"/>
      <c r="E9" s="24"/>
      <c r="F9" s="2"/>
      <c r="G9" s="1"/>
      <c r="H9" s="17" t="s">
        <v>106</v>
      </c>
      <c r="I9" s="22" t="s">
        <v>104</v>
      </c>
      <c r="J9" s="1"/>
    </row>
    <row r="10" spans="1:10" x14ac:dyDescent="0.25">
      <c r="A10" s="1"/>
      <c r="B10" s="6" t="s">
        <v>9</v>
      </c>
      <c r="C10" s="2"/>
      <c r="D10" s="2"/>
      <c r="E10" s="24">
        <f>SUM(35*J7,35*21%)</f>
        <v>42.35</v>
      </c>
      <c r="F10" s="2" t="s">
        <v>10</v>
      </c>
      <c r="G10" s="1"/>
      <c r="H10" s="17" t="s">
        <v>20</v>
      </c>
      <c r="I10" s="3">
        <v>45</v>
      </c>
      <c r="J10" s="1"/>
    </row>
    <row r="11" spans="1:10" x14ac:dyDescent="0.25">
      <c r="A11" s="1"/>
      <c r="B11" s="6" t="s">
        <v>12</v>
      </c>
      <c r="C11" s="2"/>
      <c r="D11" s="2"/>
      <c r="E11" s="24">
        <f>60+(60*21%)</f>
        <v>72.599999999999994</v>
      </c>
      <c r="F11" s="2" t="s">
        <v>13</v>
      </c>
      <c r="G11" s="1"/>
      <c r="H11" s="17" t="s">
        <v>101</v>
      </c>
      <c r="I11" s="3">
        <v>2</v>
      </c>
      <c r="J11" s="1"/>
    </row>
    <row r="12" spans="1:10" x14ac:dyDescent="0.25">
      <c r="A12" s="1"/>
      <c r="B12" s="6" t="s">
        <v>14</v>
      </c>
      <c r="C12" s="2"/>
      <c r="D12" s="2"/>
      <c r="E12" s="24">
        <f>75+(75*21%)</f>
        <v>90.75</v>
      </c>
      <c r="F12" s="2" t="s">
        <v>15</v>
      </c>
      <c r="G12" s="1"/>
      <c r="H12" s="17" t="s">
        <v>24</v>
      </c>
      <c r="I12" s="3">
        <v>2</v>
      </c>
      <c r="J12" s="1"/>
    </row>
    <row r="13" spans="1:10" x14ac:dyDescent="0.25">
      <c r="A13" s="1"/>
      <c r="B13" s="6" t="s">
        <v>16</v>
      </c>
      <c r="C13" s="2"/>
      <c r="D13" s="2"/>
      <c r="E13" s="24">
        <f>45+(45*21%)</f>
        <v>54.45</v>
      </c>
      <c r="F13" s="2" t="s">
        <v>17</v>
      </c>
      <c r="G13" s="1"/>
      <c r="H13" s="17" t="s">
        <v>27</v>
      </c>
      <c r="I13" s="3">
        <v>5</v>
      </c>
      <c r="J13" s="1"/>
    </row>
    <row r="14" spans="1:10" x14ac:dyDescent="0.25">
      <c r="A14" s="1"/>
      <c r="B14" s="6" t="s">
        <v>18</v>
      </c>
      <c r="C14" s="2"/>
      <c r="D14" s="2"/>
      <c r="E14" s="24">
        <f>100+(100*21%)</f>
        <v>121</v>
      </c>
      <c r="F14" s="2" t="s">
        <v>19</v>
      </c>
      <c r="G14" s="1"/>
      <c r="H14" s="17" t="s">
        <v>103</v>
      </c>
      <c r="I14" s="3">
        <f>SUM(I10:I13)</f>
        <v>54</v>
      </c>
      <c r="J14" s="1"/>
    </row>
    <row r="15" spans="1:10" x14ac:dyDescent="0.25">
      <c r="A15" s="1"/>
      <c r="B15" s="6" t="s">
        <v>21</v>
      </c>
      <c r="C15" s="2"/>
      <c r="D15" s="2"/>
      <c r="E15" s="24"/>
      <c r="F15" s="2"/>
      <c r="G15" s="1"/>
      <c r="H15" s="18"/>
      <c r="I15" s="3"/>
      <c r="J15" s="1"/>
    </row>
    <row r="16" spans="1:10" x14ac:dyDescent="0.25">
      <c r="A16" s="1"/>
      <c r="B16" s="6" t="s">
        <v>22</v>
      </c>
      <c r="C16" s="2"/>
      <c r="D16" s="2"/>
      <c r="E16" s="24">
        <f>400+400*21%</f>
        <v>484</v>
      </c>
      <c r="F16" s="2" t="s">
        <v>23</v>
      </c>
      <c r="G16" s="1"/>
      <c r="H16" s="17" t="s">
        <v>102</v>
      </c>
      <c r="I16" s="3">
        <v>2</v>
      </c>
      <c r="J16" s="1"/>
    </row>
    <row r="17" spans="1:10" x14ac:dyDescent="0.25">
      <c r="A17" s="1"/>
      <c r="B17" s="6" t="s">
        <v>25</v>
      </c>
      <c r="C17" s="2"/>
      <c r="D17" s="2"/>
      <c r="E17" s="24">
        <f>150+150*21%</f>
        <v>181.5</v>
      </c>
      <c r="F17" s="2" t="s">
        <v>26</v>
      </c>
      <c r="G17" s="1"/>
      <c r="H17" s="17" t="s">
        <v>24</v>
      </c>
      <c r="I17" s="3">
        <v>2</v>
      </c>
      <c r="J17" s="1"/>
    </row>
    <row r="18" spans="1:10" x14ac:dyDescent="0.25">
      <c r="A18" s="1"/>
      <c r="B18" s="6" t="s">
        <v>28</v>
      </c>
      <c r="C18" s="2"/>
      <c r="D18" s="2"/>
      <c r="E18" s="24">
        <f>125+125*21%</f>
        <v>151.25</v>
      </c>
      <c r="F18" s="2" t="s">
        <v>29</v>
      </c>
      <c r="G18" s="1"/>
      <c r="H18" s="17" t="s">
        <v>27</v>
      </c>
      <c r="I18" s="3">
        <v>5</v>
      </c>
      <c r="J18" s="1"/>
    </row>
    <row r="19" spans="1:10" x14ac:dyDescent="0.25">
      <c r="A19" s="1"/>
      <c r="B19" s="6" t="s">
        <v>30</v>
      </c>
      <c r="C19" s="2">
        <v>45</v>
      </c>
      <c r="D19" s="2"/>
      <c r="E19" s="24">
        <f>C19*J7</f>
        <v>45</v>
      </c>
      <c r="F19" s="2" t="s">
        <v>31</v>
      </c>
      <c r="G19" s="1"/>
      <c r="H19" s="17" t="s">
        <v>105</v>
      </c>
      <c r="I19" s="3">
        <f>SUM(I10,I16:I18)</f>
        <v>54</v>
      </c>
      <c r="J19" s="1"/>
    </row>
    <row r="20" spans="1:10" x14ac:dyDescent="0.25">
      <c r="A20" s="1"/>
      <c r="B20" s="6"/>
      <c r="C20" s="2"/>
      <c r="D20" s="17" t="s">
        <v>32</v>
      </c>
      <c r="E20" s="24">
        <f>SUM(E8:E19)</f>
        <v>6503.9000000000005</v>
      </c>
      <c r="F20" s="2"/>
      <c r="G20" s="1"/>
      <c r="H20" s="18"/>
      <c r="I20" s="1"/>
      <c r="J20" s="1"/>
    </row>
    <row r="21" spans="1:10" x14ac:dyDescent="0.25">
      <c r="A21" s="1"/>
      <c r="B21" s="17" t="s">
        <v>33</v>
      </c>
      <c r="C21" s="2"/>
      <c r="D21" s="2"/>
      <c r="E21" s="24"/>
      <c r="F21" s="2"/>
      <c r="G21" s="1"/>
      <c r="H21" s="17" t="s">
        <v>109</v>
      </c>
      <c r="I21" s="41">
        <f>E59</f>
        <v>12232.670236666669</v>
      </c>
      <c r="J21" s="1"/>
    </row>
    <row r="22" spans="1:10" x14ac:dyDescent="0.25">
      <c r="A22" s="1"/>
      <c r="B22" s="6" t="s">
        <v>34</v>
      </c>
      <c r="C22" s="19">
        <v>0.12</v>
      </c>
      <c r="D22" s="2"/>
      <c r="E22" s="24">
        <f>MIN((I5*C22),(((E20+I5*12%)*3))/45)</f>
        <v>475.19333333333333</v>
      </c>
      <c r="F22" s="2" t="s">
        <v>35</v>
      </c>
      <c r="G22" s="1"/>
      <c r="H22" s="17" t="s">
        <v>110</v>
      </c>
      <c r="I22" s="42">
        <v>0.35</v>
      </c>
      <c r="J22" s="1"/>
    </row>
    <row r="23" spans="1:10" x14ac:dyDescent="0.25">
      <c r="A23" s="1"/>
      <c r="B23" s="6" t="s">
        <v>36</v>
      </c>
      <c r="C23" s="27">
        <v>4.4999999999999998E-2</v>
      </c>
      <c r="D23" s="2"/>
      <c r="E23" s="24">
        <f>E20*C23</f>
        <v>292.6755</v>
      </c>
      <c r="F23" s="2" t="s">
        <v>37</v>
      </c>
      <c r="G23" s="1"/>
      <c r="H23" s="17" t="s">
        <v>111</v>
      </c>
      <c r="I23" s="41">
        <f>(I21*I22)+I21</f>
        <v>16514.104819500004</v>
      </c>
      <c r="J23" s="1"/>
    </row>
    <row r="24" spans="1:10" x14ac:dyDescent="0.25">
      <c r="A24" s="1"/>
      <c r="B24" s="6"/>
      <c r="C24" s="19"/>
      <c r="D24" s="17" t="s">
        <v>38</v>
      </c>
      <c r="E24" s="24">
        <f>SUM(E20:E23)</f>
        <v>7271.7688333333344</v>
      </c>
      <c r="F24" s="2"/>
      <c r="G24" s="36">
        <f>(E24*J5)/I5</f>
        <v>1.3984170833333336</v>
      </c>
      <c r="H24" s="28"/>
      <c r="I24" s="1"/>
      <c r="J24" s="1"/>
    </row>
    <row r="25" spans="1:10" x14ac:dyDescent="0.25">
      <c r="A25" s="1"/>
      <c r="B25" s="6" t="s">
        <v>114</v>
      </c>
      <c r="C25" s="2">
        <v>125</v>
      </c>
      <c r="D25" s="2"/>
      <c r="E25" s="2">
        <f>MAX((C25*J7),225)</f>
        <v>225</v>
      </c>
      <c r="F25" s="2" t="s">
        <v>39</v>
      </c>
      <c r="G25" s="1"/>
      <c r="H25" s="1"/>
      <c r="I25" s="1"/>
      <c r="J25" s="1"/>
    </row>
    <row r="26" spans="1:10" x14ac:dyDescent="0.25">
      <c r="A26" s="1"/>
      <c r="B26" s="6" t="s">
        <v>40</v>
      </c>
      <c r="C26" s="27">
        <v>5.4999999999999997E-3</v>
      </c>
      <c r="D26" s="2"/>
      <c r="E26" s="2">
        <f>MAX((C26*E24),100)</f>
        <v>100</v>
      </c>
      <c r="F26" s="2" t="s">
        <v>41</v>
      </c>
      <c r="G26" s="1"/>
      <c r="H26" s="29"/>
      <c r="I26" s="1"/>
      <c r="J26" s="1"/>
    </row>
    <row r="27" spans="1:10" x14ac:dyDescent="0.25">
      <c r="A27" s="1"/>
      <c r="B27" s="6"/>
      <c r="C27" s="2"/>
      <c r="D27" s="17" t="s">
        <v>42</v>
      </c>
      <c r="E27" s="24">
        <f>SUM(E24:E26)</f>
        <v>7596.7688333333344</v>
      </c>
      <c r="F27" s="2"/>
      <c r="G27" s="36">
        <f>(J5*E27)/I5</f>
        <v>1.4609170833333336</v>
      </c>
      <c r="H27" s="1"/>
      <c r="I27" s="1"/>
      <c r="J27" s="1"/>
    </row>
    <row r="28" spans="1:10" x14ac:dyDescent="0.25">
      <c r="A28" s="1"/>
      <c r="B28" s="6" t="s">
        <v>43</v>
      </c>
      <c r="C28" s="19">
        <v>0.01</v>
      </c>
      <c r="D28" s="2"/>
      <c r="E28" s="2">
        <f>MAX((C28*E27),300)</f>
        <v>300</v>
      </c>
      <c r="F28" s="2" t="s">
        <v>44</v>
      </c>
      <c r="G28" s="1"/>
      <c r="H28" s="1"/>
      <c r="I28" s="1"/>
      <c r="J28" s="1"/>
    </row>
    <row r="29" spans="1:10" x14ac:dyDescent="0.25">
      <c r="A29" s="1"/>
      <c r="B29" s="17" t="s">
        <v>45</v>
      </c>
      <c r="C29" s="2"/>
      <c r="D29" s="2"/>
      <c r="E29" s="2"/>
      <c r="F29" s="2" t="s">
        <v>46</v>
      </c>
      <c r="G29" s="1"/>
      <c r="H29" s="1"/>
      <c r="I29" s="1"/>
      <c r="J29" s="1"/>
    </row>
    <row r="30" spans="1:10" x14ac:dyDescent="0.25">
      <c r="A30" s="1"/>
      <c r="B30" s="6" t="s">
        <v>47</v>
      </c>
      <c r="C30" s="27">
        <v>5.0000000000000001E-3</v>
      </c>
      <c r="D30" s="2"/>
      <c r="E30" s="2">
        <f>MAX((C30*E27),200)</f>
        <v>200</v>
      </c>
      <c r="F30" s="2" t="s">
        <v>48</v>
      </c>
      <c r="G30" s="1"/>
      <c r="H30" s="1"/>
      <c r="I30" s="1"/>
      <c r="J30" s="1"/>
    </row>
    <row r="31" spans="1:10" x14ac:dyDescent="0.25">
      <c r="A31" s="1"/>
      <c r="B31" s="6" t="s">
        <v>49</v>
      </c>
      <c r="C31" s="2">
        <v>85</v>
      </c>
      <c r="D31" s="2"/>
      <c r="E31" s="2">
        <f t="shared" ref="E31:E37" si="0">C31</f>
        <v>85</v>
      </c>
      <c r="F31" s="2" t="s">
        <v>50</v>
      </c>
      <c r="G31" s="1"/>
      <c r="H31" s="1"/>
      <c r="I31" s="1"/>
      <c r="J31" s="1"/>
    </row>
    <row r="32" spans="1:10" x14ac:dyDescent="0.25">
      <c r="A32" s="1"/>
      <c r="B32" s="6" t="s">
        <v>51</v>
      </c>
      <c r="C32" s="2">
        <v>80</v>
      </c>
      <c r="D32" s="2"/>
      <c r="E32" s="2">
        <f t="shared" si="0"/>
        <v>80</v>
      </c>
      <c r="F32" s="2" t="s">
        <v>52</v>
      </c>
      <c r="G32" s="1"/>
      <c r="H32" s="1"/>
      <c r="I32" s="1"/>
      <c r="J32" s="1"/>
    </row>
    <row r="33" spans="1:10" x14ac:dyDescent="0.25">
      <c r="A33" s="1"/>
      <c r="B33" s="6" t="s">
        <v>53</v>
      </c>
      <c r="C33" s="2">
        <v>40</v>
      </c>
      <c r="D33" s="2"/>
      <c r="E33" s="2">
        <f t="shared" si="0"/>
        <v>40</v>
      </c>
      <c r="F33" s="2" t="s">
        <v>54</v>
      </c>
      <c r="G33" s="1"/>
      <c r="H33" s="1"/>
      <c r="I33" s="1"/>
      <c r="J33" s="1"/>
    </row>
    <row r="34" spans="1:10" x14ac:dyDescent="0.25">
      <c r="A34" s="1"/>
      <c r="B34" s="6" t="s">
        <v>55</v>
      </c>
      <c r="C34" s="2">
        <v>40</v>
      </c>
      <c r="D34" s="2"/>
      <c r="E34" s="2">
        <f t="shared" si="0"/>
        <v>40</v>
      </c>
      <c r="F34" s="2" t="s">
        <v>54</v>
      </c>
      <c r="G34" s="1"/>
      <c r="H34" s="1"/>
      <c r="I34" s="1"/>
      <c r="J34" s="1"/>
    </row>
    <row r="35" spans="1:10" x14ac:dyDescent="0.25">
      <c r="A35" s="1"/>
      <c r="B35" s="6" t="s">
        <v>56</v>
      </c>
      <c r="C35" s="2">
        <v>100</v>
      </c>
      <c r="D35" s="2"/>
      <c r="E35" s="2">
        <f t="shared" si="0"/>
        <v>100</v>
      </c>
      <c r="F35" s="2" t="s">
        <v>57</v>
      </c>
      <c r="G35" s="1"/>
      <c r="H35" s="1"/>
      <c r="I35" s="1"/>
      <c r="J35" s="1"/>
    </row>
    <row r="36" spans="1:10" x14ac:dyDescent="0.25">
      <c r="A36" s="1"/>
      <c r="B36" s="6" t="s">
        <v>58</v>
      </c>
      <c r="C36" s="2">
        <v>50</v>
      </c>
      <c r="D36" s="2"/>
      <c r="E36" s="2">
        <f t="shared" si="0"/>
        <v>50</v>
      </c>
      <c r="F36" s="2" t="s">
        <v>59</v>
      </c>
      <c r="G36" s="1"/>
      <c r="H36" s="1"/>
      <c r="I36" s="1"/>
      <c r="J36" s="1"/>
    </row>
    <row r="37" spans="1:10" x14ac:dyDescent="0.25">
      <c r="A37" s="1"/>
      <c r="B37" s="6" t="s">
        <v>60</v>
      </c>
      <c r="C37" s="2">
        <v>70</v>
      </c>
      <c r="D37" s="2"/>
      <c r="E37" s="2">
        <f t="shared" si="0"/>
        <v>70</v>
      </c>
      <c r="F37" s="2" t="s">
        <v>61</v>
      </c>
      <c r="G37" s="1"/>
      <c r="H37" s="1"/>
      <c r="I37" s="1"/>
      <c r="J37" s="1"/>
    </row>
    <row r="38" spans="1:10" x14ac:dyDescent="0.25">
      <c r="A38" s="1"/>
      <c r="B38" s="17" t="s">
        <v>62</v>
      </c>
      <c r="C38" s="2"/>
      <c r="D38" s="2"/>
      <c r="E38" s="2"/>
      <c r="F38" s="2"/>
      <c r="G38" s="1"/>
      <c r="H38" s="1"/>
      <c r="I38" s="1"/>
      <c r="J38" s="1"/>
    </row>
    <row r="39" spans="1:10" x14ac:dyDescent="0.25">
      <c r="A39" s="1"/>
      <c r="B39" s="6" t="s">
        <v>63</v>
      </c>
      <c r="C39" s="2">
        <v>8</v>
      </c>
      <c r="D39" s="2"/>
      <c r="E39" s="2">
        <f>MAX((C39*J7),30)</f>
        <v>30</v>
      </c>
      <c r="F39" s="2" t="s">
        <v>64</v>
      </c>
      <c r="G39" s="1"/>
      <c r="H39" s="1"/>
      <c r="I39" s="1"/>
      <c r="J39" s="1"/>
    </row>
    <row r="40" spans="1:10" x14ac:dyDescent="0.25">
      <c r="A40" s="1"/>
      <c r="B40" s="6" t="s">
        <v>65</v>
      </c>
      <c r="C40" s="2">
        <v>50</v>
      </c>
      <c r="D40" s="2"/>
      <c r="E40" s="2">
        <v>50</v>
      </c>
      <c r="F40" s="2" t="s">
        <v>66</v>
      </c>
      <c r="G40" s="1"/>
      <c r="H40" s="1"/>
      <c r="I40" s="1"/>
      <c r="J40" s="1"/>
    </row>
    <row r="41" spans="1:10" x14ac:dyDescent="0.25">
      <c r="A41" s="1"/>
      <c r="B41" s="6" t="s">
        <v>67</v>
      </c>
      <c r="C41" s="2">
        <v>10</v>
      </c>
      <c r="D41" s="2"/>
      <c r="E41" s="2">
        <v>10</v>
      </c>
      <c r="F41" s="2" t="s">
        <v>68</v>
      </c>
      <c r="G41" s="1"/>
      <c r="H41" s="1"/>
      <c r="I41" s="1"/>
      <c r="J41" s="1"/>
    </row>
    <row r="42" spans="1:10" x14ac:dyDescent="0.25">
      <c r="A42" s="1"/>
      <c r="B42" s="6" t="s">
        <v>69</v>
      </c>
      <c r="C42" s="2">
        <v>80</v>
      </c>
      <c r="D42" s="2"/>
      <c r="E42" s="2">
        <v>80</v>
      </c>
      <c r="F42" s="2" t="s">
        <v>52</v>
      </c>
      <c r="G42" s="1"/>
      <c r="H42" s="1"/>
      <c r="I42" s="1"/>
      <c r="J42" s="1"/>
    </row>
    <row r="43" spans="1:10" x14ac:dyDescent="0.25">
      <c r="A43" s="1"/>
      <c r="B43" s="6" t="s">
        <v>70</v>
      </c>
      <c r="C43" s="2">
        <v>5</v>
      </c>
      <c r="D43" s="2"/>
      <c r="E43" s="24">
        <f>PRODUCT(C43,J7,3)</f>
        <v>15</v>
      </c>
      <c r="F43" s="2" t="s">
        <v>71</v>
      </c>
      <c r="G43" s="1"/>
      <c r="H43" s="1"/>
      <c r="I43" s="1"/>
      <c r="J43" s="1"/>
    </row>
    <row r="44" spans="1:10" x14ac:dyDescent="0.25">
      <c r="A44" s="1"/>
      <c r="B44" s="17" t="s">
        <v>72</v>
      </c>
      <c r="C44" s="2"/>
      <c r="D44" s="2"/>
      <c r="E44" s="2"/>
      <c r="F44" s="2"/>
      <c r="G44" s="1"/>
      <c r="H44" s="1"/>
      <c r="I44" s="1"/>
      <c r="J44" s="1"/>
    </row>
    <row r="45" spans="1:10" x14ac:dyDescent="0.25">
      <c r="A45" s="1"/>
      <c r="B45" s="6" t="s">
        <v>73</v>
      </c>
      <c r="C45" s="19">
        <v>0.15</v>
      </c>
      <c r="D45" s="2"/>
      <c r="E45" s="24">
        <f>(C45*E27)</f>
        <v>1139.5153250000001</v>
      </c>
      <c r="F45" s="2" t="s">
        <v>83</v>
      </c>
      <c r="G45" s="1"/>
      <c r="H45" s="1"/>
      <c r="I45" s="1"/>
      <c r="J45" s="1"/>
    </row>
    <row r="46" spans="1:10" x14ac:dyDescent="0.25">
      <c r="A46" s="1"/>
      <c r="B46" s="6" t="s">
        <v>74</v>
      </c>
      <c r="C46" s="19">
        <v>0.19</v>
      </c>
      <c r="D46" s="2"/>
      <c r="E46" s="24">
        <f>C46*E27</f>
        <v>1443.3860783333337</v>
      </c>
      <c r="F46" s="2" t="s">
        <v>75</v>
      </c>
      <c r="G46" s="1"/>
      <c r="H46" s="1"/>
      <c r="I46" s="1"/>
      <c r="J46" s="1"/>
    </row>
    <row r="47" spans="1:10" x14ac:dyDescent="0.25">
      <c r="A47" s="1"/>
      <c r="B47" s="17" t="s">
        <v>80</v>
      </c>
      <c r="C47" s="2"/>
      <c r="D47" s="2"/>
      <c r="E47" s="2"/>
      <c r="F47" s="2"/>
      <c r="G47" s="1"/>
      <c r="H47" s="1"/>
      <c r="I47" s="1"/>
      <c r="J47" s="1"/>
    </row>
    <row r="48" spans="1:10" x14ac:dyDescent="0.25">
      <c r="A48" s="1"/>
      <c r="B48" s="6" t="s">
        <v>85</v>
      </c>
      <c r="C48" s="2">
        <v>23</v>
      </c>
      <c r="D48" s="2"/>
      <c r="E48" s="2">
        <f>C48*J7</f>
        <v>23</v>
      </c>
      <c r="F48" s="2" t="s">
        <v>86</v>
      </c>
      <c r="G48" s="1"/>
      <c r="H48" s="1"/>
      <c r="I48" s="1"/>
      <c r="J48" s="1"/>
    </row>
    <row r="49" spans="1:10" x14ac:dyDescent="0.25">
      <c r="A49" s="1"/>
      <c r="B49" s="6" t="s">
        <v>87</v>
      </c>
      <c r="C49" s="2">
        <v>60</v>
      </c>
      <c r="D49" s="2"/>
      <c r="E49" s="2">
        <f>C49</f>
        <v>60</v>
      </c>
      <c r="F49" s="2" t="s">
        <v>88</v>
      </c>
      <c r="G49" s="1"/>
      <c r="H49" s="1"/>
      <c r="I49" s="1"/>
      <c r="J49" s="1"/>
    </row>
    <row r="50" spans="1:10" x14ac:dyDescent="0.25">
      <c r="A50" s="1"/>
      <c r="B50" s="6" t="s">
        <v>89</v>
      </c>
      <c r="C50" s="2">
        <v>60</v>
      </c>
      <c r="D50" s="2"/>
      <c r="E50" s="2">
        <f>C50</f>
        <v>60</v>
      </c>
      <c r="F50" s="2" t="s">
        <v>88</v>
      </c>
      <c r="G50" s="1"/>
      <c r="H50" s="1"/>
      <c r="I50" s="1"/>
      <c r="J50" s="1"/>
    </row>
    <row r="51" spans="1:10" x14ac:dyDescent="0.25">
      <c r="A51" s="1"/>
      <c r="B51" s="6" t="s">
        <v>90</v>
      </c>
      <c r="C51" s="2">
        <v>35</v>
      </c>
      <c r="D51" s="2"/>
      <c r="E51" s="2">
        <f>C51</f>
        <v>35</v>
      </c>
      <c r="F51" s="2" t="s">
        <v>91</v>
      </c>
      <c r="G51" s="30"/>
      <c r="H51" s="1"/>
      <c r="I51" s="1"/>
      <c r="J51" s="1"/>
    </row>
    <row r="52" spans="1:10" x14ac:dyDescent="0.25">
      <c r="A52" s="1"/>
      <c r="B52" s="6" t="s">
        <v>92</v>
      </c>
      <c r="C52" s="2">
        <v>4.5</v>
      </c>
      <c r="D52" s="2"/>
      <c r="E52" s="24">
        <f>MAX((C52*J7),20)</f>
        <v>20</v>
      </c>
      <c r="F52" s="2" t="s">
        <v>93</v>
      </c>
      <c r="G52" s="1"/>
      <c r="H52" s="1"/>
      <c r="I52" s="1"/>
      <c r="J52" s="1"/>
    </row>
    <row r="53" spans="1:10" x14ac:dyDescent="0.25">
      <c r="A53" s="1"/>
      <c r="B53" s="6" t="s">
        <v>94</v>
      </c>
      <c r="C53" s="2">
        <v>3.5</v>
      </c>
      <c r="D53" s="2"/>
      <c r="E53" s="2">
        <f>MAX((C53*J7),15)</f>
        <v>15</v>
      </c>
      <c r="F53" s="2" t="s">
        <v>95</v>
      </c>
      <c r="G53" s="1"/>
      <c r="H53" s="1"/>
      <c r="I53" s="1"/>
      <c r="J53" s="1"/>
    </row>
    <row r="54" spans="1:10" x14ac:dyDescent="0.25">
      <c r="A54" s="1"/>
      <c r="B54" s="6" t="s">
        <v>96</v>
      </c>
      <c r="C54" s="19">
        <v>0.03</v>
      </c>
      <c r="D54" s="2"/>
      <c r="E54" s="24">
        <v>40</v>
      </c>
      <c r="F54" s="2" t="s">
        <v>97</v>
      </c>
      <c r="G54" s="1"/>
      <c r="H54" s="1"/>
      <c r="I54" s="1"/>
      <c r="J54" s="1"/>
    </row>
    <row r="55" spans="1:10" x14ac:dyDescent="0.25">
      <c r="A55" s="1"/>
      <c r="B55" s="17" t="s">
        <v>76</v>
      </c>
      <c r="C55" s="2"/>
      <c r="D55" s="2"/>
      <c r="E55" s="2"/>
      <c r="F55" s="2"/>
      <c r="G55" s="1"/>
      <c r="H55" s="1"/>
      <c r="I55" s="1"/>
      <c r="J55" s="1"/>
    </row>
    <row r="56" spans="1:10" x14ac:dyDescent="0.25">
      <c r="A56" s="1"/>
      <c r="B56" s="6" t="s">
        <v>84</v>
      </c>
      <c r="C56" s="2">
        <v>350</v>
      </c>
      <c r="D56" s="2"/>
      <c r="E56" s="2">
        <v>350</v>
      </c>
      <c r="F56" s="2" t="s">
        <v>77</v>
      </c>
      <c r="G56" s="1"/>
      <c r="H56" s="1"/>
      <c r="I56" s="1"/>
      <c r="J56" s="1"/>
    </row>
    <row r="57" spans="1:10" x14ac:dyDescent="0.25">
      <c r="A57" s="1"/>
      <c r="B57" s="6" t="s">
        <v>78</v>
      </c>
      <c r="C57" s="2">
        <v>650</v>
      </c>
      <c r="D57" s="2"/>
      <c r="E57" s="2">
        <v>650</v>
      </c>
      <c r="F57" s="2" t="s">
        <v>79</v>
      </c>
      <c r="G57" s="1"/>
      <c r="H57" s="1"/>
      <c r="I57" s="1"/>
      <c r="J57" s="1"/>
    </row>
    <row r="58" spans="1:10" x14ac:dyDescent="0.25">
      <c r="A58" s="1"/>
      <c r="B58" s="1"/>
      <c r="C58" s="1"/>
      <c r="D58" s="17" t="s">
        <v>98</v>
      </c>
      <c r="E58" s="24">
        <f>SUM(E27:E56)</f>
        <v>11932.670236666669</v>
      </c>
      <c r="F58" s="2" t="s">
        <v>99</v>
      </c>
      <c r="G58" s="36">
        <f>(E58*J5)/I5</f>
        <v>2.2947442762820516</v>
      </c>
      <c r="H58" s="1"/>
      <c r="I58" s="1"/>
      <c r="J58" s="1"/>
    </row>
    <row r="59" spans="1:10" x14ac:dyDescent="0.25">
      <c r="A59" s="1"/>
      <c r="B59" s="1"/>
      <c r="C59" s="1"/>
      <c r="D59" s="1"/>
      <c r="E59" s="24">
        <f>SUM(E27:E54,E57)</f>
        <v>12232.670236666669</v>
      </c>
      <c r="F59" s="2" t="s">
        <v>100</v>
      </c>
      <c r="G59" s="36">
        <f>(E59*J5)/I5</f>
        <v>2.3524365839743595</v>
      </c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</sheetData>
  <sheetProtection sheet="1" objects="1" scenarios="1"/>
  <pageMargins left="0.25" right="0.25" top="0.75" bottom="0.75" header="0.3" footer="0.3"/>
  <pageSetup scale="5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B4" sqref="B4"/>
    </sheetView>
  </sheetViews>
  <sheetFormatPr baseColWidth="10" defaultRowHeight="15" x14ac:dyDescent="0.25"/>
  <cols>
    <col min="1" max="1" width="2.140625" customWidth="1"/>
    <col min="2" max="2" width="39.28515625" customWidth="1"/>
    <col min="3" max="3" width="10.7109375" customWidth="1"/>
    <col min="4" max="4" width="10.85546875" customWidth="1"/>
    <col min="6" max="6" width="49.140625" customWidth="1"/>
    <col min="7" max="7" width="8.5703125" customWidth="1"/>
    <col min="8" max="8" width="26.7109375" customWidth="1"/>
  </cols>
  <sheetData>
    <row r="1" spans="1:10" x14ac:dyDescent="0.25">
      <c r="A1" s="1"/>
      <c r="B1" s="9" t="s">
        <v>162</v>
      </c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9" t="s">
        <v>150</v>
      </c>
      <c r="C2" s="1"/>
      <c r="D2" s="1" t="s">
        <v>115</v>
      </c>
      <c r="E2" s="1"/>
      <c r="F2" s="1"/>
      <c r="G2" s="1"/>
      <c r="H2" s="1"/>
      <c r="I2" s="1"/>
      <c r="J2" s="1"/>
    </row>
    <row r="3" spans="1:10" x14ac:dyDescent="0.25">
      <c r="A3" s="1"/>
      <c r="B3" s="15" t="s">
        <v>163</v>
      </c>
      <c r="C3" s="15"/>
      <c r="D3" s="15"/>
      <c r="E3" s="33"/>
      <c r="F3" s="15" t="s">
        <v>2</v>
      </c>
      <c r="G3" s="34" t="s">
        <v>151</v>
      </c>
      <c r="H3" s="15" t="s">
        <v>116</v>
      </c>
      <c r="I3" s="35" t="s">
        <v>117</v>
      </c>
      <c r="J3" s="1"/>
    </row>
    <row r="4" spans="1:10" x14ac:dyDescent="0.25">
      <c r="A4" s="1"/>
      <c r="B4" s="6" t="s">
        <v>107</v>
      </c>
      <c r="C4" s="2">
        <v>15</v>
      </c>
      <c r="D4" s="2"/>
      <c r="E4" s="24">
        <f>C4</f>
        <v>15</v>
      </c>
      <c r="F4" s="2"/>
      <c r="G4" s="1"/>
      <c r="H4" s="6" t="s">
        <v>6</v>
      </c>
      <c r="I4" s="3">
        <v>2550</v>
      </c>
      <c r="J4" s="19">
        <v>1</v>
      </c>
    </row>
    <row r="5" spans="1:10" x14ac:dyDescent="0.25">
      <c r="A5" s="1"/>
      <c r="B5" s="17" t="s">
        <v>152</v>
      </c>
      <c r="C5" s="2"/>
      <c r="D5" s="2"/>
      <c r="E5" s="24"/>
      <c r="F5" s="2"/>
      <c r="G5" s="1"/>
      <c r="H5" s="6" t="s">
        <v>8</v>
      </c>
      <c r="I5" s="3">
        <v>0.13400000000000001</v>
      </c>
      <c r="J5" s="1"/>
    </row>
    <row r="6" spans="1:10" x14ac:dyDescent="0.25">
      <c r="A6" s="1"/>
      <c r="B6" s="6" t="s">
        <v>153</v>
      </c>
      <c r="C6" s="27">
        <v>2E-3</v>
      </c>
      <c r="D6" s="2"/>
      <c r="E6" s="24">
        <f>MAX((I4+E4)*C6,40)+6</f>
        <v>46</v>
      </c>
      <c r="F6" s="2" t="s">
        <v>154</v>
      </c>
      <c r="G6" s="1"/>
      <c r="H6" s="6" t="s">
        <v>11</v>
      </c>
      <c r="I6" s="3">
        <v>0.125</v>
      </c>
      <c r="J6" s="2">
        <v>1</v>
      </c>
    </row>
    <row r="7" spans="1:10" x14ac:dyDescent="0.25">
      <c r="A7" s="1"/>
      <c r="B7" s="6"/>
      <c r="C7" s="2"/>
      <c r="D7" s="8" t="s">
        <v>4</v>
      </c>
      <c r="E7" s="24">
        <f>I4+E4+E6</f>
        <v>2611</v>
      </c>
      <c r="F7" s="2" t="s">
        <v>118</v>
      </c>
      <c r="G7" s="25">
        <f>E7*J4/I4</f>
        <v>1.023921568627451</v>
      </c>
      <c r="H7" s="18"/>
      <c r="I7" s="1"/>
      <c r="J7" s="1"/>
    </row>
    <row r="8" spans="1:10" x14ac:dyDescent="0.25">
      <c r="A8" s="1"/>
      <c r="B8" s="17" t="s">
        <v>7</v>
      </c>
      <c r="C8" s="2"/>
      <c r="D8" s="2"/>
      <c r="E8" s="24"/>
      <c r="F8" s="2"/>
      <c r="G8" s="1"/>
      <c r="H8" s="6" t="s">
        <v>106</v>
      </c>
      <c r="I8" s="22" t="s">
        <v>104</v>
      </c>
      <c r="J8" s="1"/>
    </row>
    <row r="9" spans="1:10" x14ac:dyDescent="0.25">
      <c r="A9" s="1"/>
      <c r="B9" s="6" t="s">
        <v>9</v>
      </c>
      <c r="C9" s="2"/>
      <c r="D9" s="2"/>
      <c r="E9" s="24">
        <f>SUM(35*J6,35*21%)</f>
        <v>42.35</v>
      </c>
      <c r="F9" s="2" t="s">
        <v>10</v>
      </c>
      <c r="G9" s="1"/>
      <c r="H9" s="6" t="s">
        <v>20</v>
      </c>
      <c r="I9" s="22">
        <v>45</v>
      </c>
      <c r="J9" s="1"/>
    </row>
    <row r="10" spans="1:10" x14ac:dyDescent="0.25">
      <c r="A10" s="1"/>
      <c r="B10" s="6" t="s">
        <v>12</v>
      </c>
      <c r="C10" s="2"/>
      <c r="D10" s="2"/>
      <c r="E10" s="24">
        <f>60+(60*21%)</f>
        <v>72.599999999999994</v>
      </c>
      <c r="F10" s="2" t="s">
        <v>13</v>
      </c>
      <c r="G10" s="1"/>
      <c r="H10" s="6" t="s">
        <v>101</v>
      </c>
      <c r="I10" s="22">
        <v>2</v>
      </c>
      <c r="J10" s="1"/>
    </row>
    <row r="11" spans="1:10" x14ac:dyDescent="0.25">
      <c r="A11" s="1"/>
      <c r="B11" s="6" t="s">
        <v>14</v>
      </c>
      <c r="C11" s="2"/>
      <c r="D11" s="2"/>
      <c r="E11" s="24">
        <f>75+(75*21%)</f>
        <v>90.75</v>
      </c>
      <c r="F11" s="2" t="s">
        <v>15</v>
      </c>
      <c r="G11" s="1"/>
      <c r="H11" s="6" t="s">
        <v>24</v>
      </c>
      <c r="I11" s="22">
        <v>2</v>
      </c>
      <c r="J11" s="1"/>
    </row>
    <row r="12" spans="1:10" x14ac:dyDescent="0.25">
      <c r="A12" s="1"/>
      <c r="B12" s="6" t="s">
        <v>16</v>
      </c>
      <c r="C12" s="2"/>
      <c r="D12" s="2"/>
      <c r="E12" s="24">
        <f>45+(45*21%)</f>
        <v>54.45</v>
      </c>
      <c r="F12" s="2" t="s">
        <v>17</v>
      </c>
      <c r="G12" s="1"/>
      <c r="H12" s="6" t="s">
        <v>27</v>
      </c>
      <c r="I12" s="22">
        <v>5</v>
      </c>
      <c r="J12" s="1"/>
    </row>
    <row r="13" spans="1:10" x14ac:dyDescent="0.25">
      <c r="A13" s="1"/>
      <c r="B13" s="6" t="s">
        <v>18</v>
      </c>
      <c r="C13" s="2"/>
      <c r="D13" s="2"/>
      <c r="E13" s="24">
        <f>100+(100*21%)</f>
        <v>121</v>
      </c>
      <c r="F13" s="2" t="s">
        <v>19</v>
      </c>
      <c r="G13" s="1"/>
      <c r="H13" s="6" t="s">
        <v>103</v>
      </c>
      <c r="I13" s="22">
        <f>SUM(I9:I12)</f>
        <v>54</v>
      </c>
      <c r="J13" s="1"/>
    </row>
    <row r="14" spans="1:10" x14ac:dyDescent="0.25">
      <c r="A14" s="1"/>
      <c r="B14" s="6" t="s">
        <v>21</v>
      </c>
      <c r="C14" s="2"/>
      <c r="D14" s="2"/>
      <c r="E14" s="24"/>
      <c r="F14" s="2"/>
      <c r="G14" s="1"/>
      <c r="H14" s="18"/>
      <c r="I14" s="22"/>
      <c r="J14" s="1"/>
    </row>
    <row r="15" spans="1:10" x14ac:dyDescent="0.25">
      <c r="A15" s="1"/>
      <c r="B15" s="6" t="s">
        <v>22</v>
      </c>
      <c r="C15" s="2"/>
      <c r="D15" s="2"/>
      <c r="E15" s="24">
        <f>400+400*21%</f>
        <v>484</v>
      </c>
      <c r="F15" s="2" t="s">
        <v>23</v>
      </c>
      <c r="G15" s="1"/>
      <c r="H15" s="6" t="s">
        <v>102</v>
      </c>
      <c r="I15" s="22">
        <v>2</v>
      </c>
      <c r="J15" s="1"/>
    </row>
    <row r="16" spans="1:10" x14ac:dyDescent="0.25">
      <c r="A16" s="1"/>
      <c r="B16" s="6" t="s">
        <v>25</v>
      </c>
      <c r="C16" s="2"/>
      <c r="D16" s="2"/>
      <c r="E16" s="24">
        <f>150+150*21%</f>
        <v>181.5</v>
      </c>
      <c r="F16" s="2" t="s">
        <v>26</v>
      </c>
      <c r="G16" s="1"/>
      <c r="H16" s="6" t="s">
        <v>24</v>
      </c>
      <c r="I16" s="22">
        <v>2</v>
      </c>
      <c r="J16" s="1"/>
    </row>
    <row r="17" spans="1:10" x14ac:dyDescent="0.25">
      <c r="A17" s="1"/>
      <c r="B17" s="6" t="s">
        <v>28</v>
      </c>
      <c r="C17" s="2"/>
      <c r="D17" s="2"/>
      <c r="E17" s="24">
        <f>125+125*21%</f>
        <v>151.25</v>
      </c>
      <c r="F17" s="2" t="s">
        <v>29</v>
      </c>
      <c r="G17" s="1"/>
      <c r="H17" s="6" t="s">
        <v>27</v>
      </c>
      <c r="I17" s="22">
        <v>5</v>
      </c>
      <c r="J17" s="1"/>
    </row>
    <row r="18" spans="1:10" x14ac:dyDescent="0.25">
      <c r="A18" s="1"/>
      <c r="B18" s="6" t="s">
        <v>30</v>
      </c>
      <c r="C18" s="2">
        <v>45</v>
      </c>
      <c r="D18" s="2"/>
      <c r="E18" s="24">
        <f>PRODUCT(C18,J6)</f>
        <v>45</v>
      </c>
      <c r="F18" s="2" t="s">
        <v>31</v>
      </c>
      <c r="G18" s="1"/>
      <c r="H18" s="6" t="s">
        <v>105</v>
      </c>
      <c r="I18" s="22">
        <f>SUM(I9,I15:I17)</f>
        <v>54</v>
      </c>
      <c r="J18" s="1"/>
    </row>
    <row r="19" spans="1:10" x14ac:dyDescent="0.25">
      <c r="A19" s="1"/>
      <c r="B19" s="6"/>
      <c r="C19" s="2"/>
      <c r="D19" s="8" t="s">
        <v>32</v>
      </c>
      <c r="E19" s="24">
        <f>SUM(E7:E18)</f>
        <v>3853.8999999999996</v>
      </c>
      <c r="F19" s="2"/>
      <c r="G19" s="1"/>
      <c r="H19" s="18"/>
      <c r="I19" s="1"/>
      <c r="J19" s="1"/>
    </row>
    <row r="20" spans="1:10" x14ac:dyDescent="0.25">
      <c r="A20" s="1"/>
      <c r="B20" s="17" t="s">
        <v>33</v>
      </c>
      <c r="C20" s="2"/>
      <c r="D20" s="2"/>
      <c r="E20" s="24"/>
      <c r="F20" s="2"/>
      <c r="G20" s="1"/>
      <c r="H20" s="6" t="s">
        <v>109</v>
      </c>
      <c r="I20" s="41">
        <f>E58</f>
        <v>8256.7339033333337</v>
      </c>
      <c r="J20" s="1"/>
    </row>
    <row r="21" spans="1:10" x14ac:dyDescent="0.25">
      <c r="A21" s="1"/>
      <c r="B21" s="6" t="s">
        <v>34</v>
      </c>
      <c r="C21" s="19">
        <v>0.12</v>
      </c>
      <c r="D21" s="2"/>
      <c r="E21" s="24">
        <f>MIN((I4*C21),(((E19+I4*12%)*3))/45)</f>
        <v>277.32666666666665</v>
      </c>
      <c r="F21" s="2" t="s">
        <v>35</v>
      </c>
      <c r="G21" s="1"/>
      <c r="H21" s="6" t="s">
        <v>110</v>
      </c>
      <c r="I21" s="42">
        <v>0.35</v>
      </c>
      <c r="J21" s="1"/>
    </row>
    <row r="22" spans="1:10" x14ac:dyDescent="0.25">
      <c r="A22" s="1"/>
      <c r="B22" s="6" t="s">
        <v>36</v>
      </c>
      <c r="C22" s="27">
        <v>4.4999999999999998E-2</v>
      </c>
      <c r="D22" s="2"/>
      <c r="E22" s="24">
        <f>E19*C22</f>
        <v>173.42549999999997</v>
      </c>
      <c r="F22" s="2" t="s">
        <v>37</v>
      </c>
      <c r="G22" s="1"/>
      <c r="H22" s="6" t="s">
        <v>111</v>
      </c>
      <c r="I22" s="41">
        <f>(I20*I21)+I20</f>
        <v>11146.590769500001</v>
      </c>
      <c r="J22" s="1"/>
    </row>
    <row r="23" spans="1:10" x14ac:dyDescent="0.25">
      <c r="A23" s="1"/>
      <c r="B23" s="6"/>
      <c r="C23" s="19"/>
      <c r="D23" s="8" t="s">
        <v>38</v>
      </c>
      <c r="E23" s="24">
        <f>SUM(E19:E22)</f>
        <v>4304.6521666666667</v>
      </c>
      <c r="F23" s="2"/>
      <c r="G23" s="25">
        <f>(E23*J4)/I4</f>
        <v>1.6880988888888888</v>
      </c>
      <c r="H23" s="28"/>
      <c r="I23" s="1"/>
      <c r="J23" s="1"/>
    </row>
    <row r="24" spans="1:10" x14ac:dyDescent="0.25">
      <c r="A24" s="1"/>
      <c r="B24" s="6" t="s">
        <v>114</v>
      </c>
      <c r="C24" s="2">
        <v>125</v>
      </c>
      <c r="D24" s="2"/>
      <c r="E24" s="2">
        <f>MAX((C24*J6),225)</f>
        <v>225</v>
      </c>
      <c r="F24" s="2" t="s">
        <v>39</v>
      </c>
      <c r="G24" s="1"/>
      <c r="H24" s="1"/>
      <c r="I24" s="1"/>
      <c r="J24" s="1"/>
    </row>
    <row r="25" spans="1:10" x14ac:dyDescent="0.25">
      <c r="A25" s="1"/>
      <c r="B25" s="6" t="s">
        <v>40</v>
      </c>
      <c r="C25" s="27">
        <v>5.4999999999999997E-3</v>
      </c>
      <c r="D25" s="2"/>
      <c r="E25" s="2">
        <f>MAX((C25*E23),100)</f>
        <v>100</v>
      </c>
      <c r="F25" s="2" t="s">
        <v>41</v>
      </c>
      <c r="G25" s="1"/>
      <c r="H25" s="29"/>
      <c r="I25" s="1"/>
      <c r="J25" s="1"/>
    </row>
    <row r="26" spans="1:10" x14ac:dyDescent="0.25">
      <c r="A26" s="1"/>
      <c r="B26" s="6"/>
      <c r="C26" s="2"/>
      <c r="D26" s="8" t="s">
        <v>42</v>
      </c>
      <c r="E26" s="24">
        <f>SUM(E23:E25)</f>
        <v>4629.6521666666667</v>
      </c>
      <c r="F26" s="2"/>
      <c r="G26" s="25">
        <f>(J4*E26)/I4</f>
        <v>1.8155498692810459</v>
      </c>
      <c r="H26" s="1"/>
      <c r="I26" s="1"/>
      <c r="J26" s="1"/>
    </row>
    <row r="27" spans="1:10" x14ac:dyDescent="0.25">
      <c r="A27" s="1"/>
      <c r="B27" s="6" t="s">
        <v>43</v>
      </c>
      <c r="C27" s="19">
        <v>0.01</v>
      </c>
      <c r="D27" s="2"/>
      <c r="E27" s="2">
        <f>MAX((C27*E26),300)</f>
        <v>300</v>
      </c>
      <c r="F27" s="2" t="s">
        <v>44</v>
      </c>
      <c r="G27" s="1"/>
      <c r="H27" s="1"/>
      <c r="I27" s="1"/>
      <c r="J27" s="1"/>
    </row>
    <row r="28" spans="1:10" x14ac:dyDescent="0.25">
      <c r="A28" s="1"/>
      <c r="B28" s="17" t="s">
        <v>45</v>
      </c>
      <c r="C28" s="2"/>
      <c r="D28" s="2"/>
      <c r="E28" s="2"/>
      <c r="F28" s="2" t="s">
        <v>46</v>
      </c>
      <c r="G28" s="1"/>
      <c r="H28" s="1"/>
      <c r="I28" s="1"/>
      <c r="J28" s="1"/>
    </row>
    <row r="29" spans="1:10" x14ac:dyDescent="0.25">
      <c r="A29" s="1"/>
      <c r="B29" s="6" t="s">
        <v>47</v>
      </c>
      <c r="C29" s="27">
        <v>5.0000000000000001E-3</v>
      </c>
      <c r="D29" s="2"/>
      <c r="E29" s="2">
        <f>MAX((C29*E26),200)</f>
        <v>200</v>
      </c>
      <c r="F29" s="2" t="s">
        <v>48</v>
      </c>
      <c r="G29" s="1"/>
      <c r="H29" s="1"/>
      <c r="I29" s="1"/>
      <c r="J29" s="1"/>
    </row>
    <row r="30" spans="1:10" x14ac:dyDescent="0.25">
      <c r="A30" s="1"/>
      <c r="B30" s="6" t="s">
        <v>49</v>
      </c>
      <c r="C30" s="2">
        <v>85</v>
      </c>
      <c r="D30" s="2"/>
      <c r="E30" s="2">
        <f t="shared" ref="E30:E36" si="0">C30</f>
        <v>85</v>
      </c>
      <c r="F30" s="2" t="s">
        <v>50</v>
      </c>
      <c r="G30" s="1"/>
      <c r="H30" s="1"/>
      <c r="I30" s="1"/>
      <c r="J30" s="1"/>
    </row>
    <row r="31" spans="1:10" x14ac:dyDescent="0.25">
      <c r="A31" s="1"/>
      <c r="B31" s="6" t="s">
        <v>51</v>
      </c>
      <c r="C31" s="2">
        <v>80</v>
      </c>
      <c r="D31" s="2"/>
      <c r="E31" s="2">
        <f t="shared" si="0"/>
        <v>80</v>
      </c>
      <c r="F31" s="2" t="s">
        <v>52</v>
      </c>
      <c r="G31" s="1"/>
      <c r="H31" s="1"/>
      <c r="I31" s="1"/>
      <c r="J31" s="1"/>
    </row>
    <row r="32" spans="1:10" x14ac:dyDescent="0.25">
      <c r="A32" s="1"/>
      <c r="B32" s="6" t="s">
        <v>53</v>
      </c>
      <c r="C32" s="2">
        <v>40</v>
      </c>
      <c r="D32" s="2"/>
      <c r="E32" s="2">
        <f t="shared" si="0"/>
        <v>40</v>
      </c>
      <c r="F32" s="2" t="s">
        <v>54</v>
      </c>
      <c r="G32" s="1"/>
      <c r="H32" s="1"/>
      <c r="I32" s="1"/>
      <c r="J32" s="1"/>
    </row>
    <row r="33" spans="1:10" x14ac:dyDescent="0.25">
      <c r="A33" s="1"/>
      <c r="B33" s="6" t="s">
        <v>55</v>
      </c>
      <c r="C33" s="2">
        <v>40</v>
      </c>
      <c r="D33" s="2"/>
      <c r="E33" s="2">
        <f t="shared" si="0"/>
        <v>40</v>
      </c>
      <c r="F33" s="2" t="s">
        <v>54</v>
      </c>
      <c r="G33" s="1"/>
      <c r="H33" s="1"/>
      <c r="I33" s="1"/>
      <c r="J33" s="1"/>
    </row>
    <row r="34" spans="1:10" x14ac:dyDescent="0.25">
      <c r="A34" s="1"/>
      <c r="B34" s="6" t="s">
        <v>56</v>
      </c>
      <c r="C34" s="2">
        <v>100</v>
      </c>
      <c r="D34" s="2"/>
      <c r="E34" s="2">
        <f t="shared" si="0"/>
        <v>100</v>
      </c>
      <c r="F34" s="2" t="s">
        <v>57</v>
      </c>
      <c r="G34" s="1"/>
      <c r="H34" s="1"/>
      <c r="I34" s="1"/>
      <c r="J34" s="1"/>
    </row>
    <row r="35" spans="1:10" x14ac:dyDescent="0.25">
      <c r="A35" s="1"/>
      <c r="B35" s="6" t="s">
        <v>58</v>
      </c>
      <c r="C35" s="2">
        <v>50</v>
      </c>
      <c r="D35" s="2"/>
      <c r="E35" s="2">
        <f t="shared" si="0"/>
        <v>50</v>
      </c>
      <c r="F35" s="2" t="s">
        <v>59</v>
      </c>
      <c r="G35" s="1"/>
      <c r="H35" s="1"/>
      <c r="I35" s="1"/>
      <c r="J35" s="1"/>
    </row>
    <row r="36" spans="1:10" x14ac:dyDescent="0.25">
      <c r="A36" s="1"/>
      <c r="B36" s="6" t="s">
        <v>60</v>
      </c>
      <c r="C36" s="2">
        <v>70</v>
      </c>
      <c r="D36" s="2"/>
      <c r="E36" s="2">
        <f t="shared" si="0"/>
        <v>70</v>
      </c>
      <c r="F36" s="2" t="s">
        <v>61</v>
      </c>
      <c r="G36" s="1"/>
      <c r="H36" s="1"/>
      <c r="I36" s="1"/>
      <c r="J36" s="1"/>
    </row>
    <row r="37" spans="1:10" x14ac:dyDescent="0.25">
      <c r="A37" s="1"/>
      <c r="B37" s="17" t="s">
        <v>62</v>
      </c>
      <c r="C37" s="2"/>
      <c r="D37" s="2"/>
      <c r="E37" s="2"/>
      <c r="F37" s="2"/>
      <c r="G37" s="1"/>
      <c r="H37" s="1"/>
      <c r="I37" s="1"/>
      <c r="J37" s="1"/>
    </row>
    <row r="38" spans="1:10" x14ac:dyDescent="0.25">
      <c r="A38" s="1"/>
      <c r="B38" s="6" t="s">
        <v>63</v>
      </c>
      <c r="C38" s="2">
        <v>8</v>
      </c>
      <c r="D38" s="2"/>
      <c r="E38" s="2">
        <f>MAX((C38*J6),30)</f>
        <v>30</v>
      </c>
      <c r="F38" s="2" t="s">
        <v>119</v>
      </c>
      <c r="G38" s="1"/>
      <c r="H38" s="1"/>
      <c r="I38" s="1"/>
      <c r="J38" s="1"/>
    </row>
    <row r="39" spans="1:10" x14ac:dyDescent="0.25">
      <c r="A39" s="1"/>
      <c r="B39" s="6" t="s">
        <v>65</v>
      </c>
      <c r="C39" s="2">
        <v>50</v>
      </c>
      <c r="D39" s="2"/>
      <c r="E39" s="2">
        <v>50</v>
      </c>
      <c r="F39" s="2" t="s">
        <v>120</v>
      </c>
      <c r="G39" s="1"/>
      <c r="H39" s="1"/>
      <c r="I39" s="1"/>
      <c r="J39" s="1"/>
    </row>
    <row r="40" spans="1:10" x14ac:dyDescent="0.25">
      <c r="A40" s="1"/>
      <c r="B40" s="6" t="s">
        <v>67</v>
      </c>
      <c r="C40" s="2">
        <v>10</v>
      </c>
      <c r="D40" s="2"/>
      <c r="E40" s="2">
        <v>10</v>
      </c>
      <c r="F40" s="2" t="s">
        <v>68</v>
      </c>
      <c r="G40" s="1"/>
      <c r="H40" s="1"/>
      <c r="I40" s="1"/>
      <c r="J40" s="1"/>
    </row>
    <row r="41" spans="1:10" x14ac:dyDescent="0.25">
      <c r="A41" s="1"/>
      <c r="B41" s="6" t="s">
        <v>69</v>
      </c>
      <c r="C41" s="2">
        <v>80</v>
      </c>
      <c r="D41" s="2"/>
      <c r="E41" s="2">
        <v>80</v>
      </c>
      <c r="F41" s="2" t="s">
        <v>52</v>
      </c>
      <c r="G41" s="1"/>
      <c r="H41" s="1"/>
      <c r="I41" s="1"/>
      <c r="J41" s="1"/>
    </row>
    <row r="42" spans="1:10" x14ac:dyDescent="0.25">
      <c r="A42" s="1"/>
      <c r="B42" s="6" t="s">
        <v>70</v>
      </c>
      <c r="C42" s="2">
        <v>5</v>
      </c>
      <c r="D42" s="2"/>
      <c r="E42" s="24">
        <f>PRODUCT(C42,J6,3)</f>
        <v>15</v>
      </c>
      <c r="F42" s="2" t="s">
        <v>71</v>
      </c>
      <c r="G42" s="1"/>
      <c r="H42" s="1"/>
      <c r="I42" s="1"/>
      <c r="J42" s="1"/>
    </row>
    <row r="43" spans="1:10" x14ac:dyDescent="0.25">
      <c r="A43" s="1"/>
      <c r="B43" s="17" t="s">
        <v>72</v>
      </c>
      <c r="C43" s="2"/>
      <c r="D43" s="2"/>
      <c r="E43" s="2"/>
      <c r="F43" s="2"/>
      <c r="G43" s="1"/>
      <c r="H43" s="1"/>
      <c r="I43" s="1"/>
      <c r="J43" s="1"/>
    </row>
    <row r="44" spans="1:10" x14ac:dyDescent="0.25">
      <c r="A44" s="1"/>
      <c r="B44" s="6" t="s">
        <v>73</v>
      </c>
      <c r="C44" s="19">
        <v>0.15</v>
      </c>
      <c r="D44" s="2"/>
      <c r="E44" s="24">
        <f>(C44*E26)</f>
        <v>694.44782499999997</v>
      </c>
      <c r="F44" s="2" t="s">
        <v>83</v>
      </c>
      <c r="G44" s="1"/>
      <c r="H44" s="1"/>
      <c r="I44" s="1"/>
      <c r="J44" s="1"/>
    </row>
    <row r="45" spans="1:10" x14ac:dyDescent="0.25">
      <c r="A45" s="1"/>
      <c r="B45" s="6" t="s">
        <v>74</v>
      </c>
      <c r="C45" s="19">
        <v>0.19</v>
      </c>
      <c r="D45" s="2"/>
      <c r="E45" s="24">
        <f>C45*E26</f>
        <v>879.63391166666668</v>
      </c>
      <c r="F45" s="2" t="s">
        <v>75</v>
      </c>
      <c r="G45" s="1"/>
      <c r="H45" s="1"/>
      <c r="I45" s="1"/>
      <c r="J45" s="1"/>
    </row>
    <row r="46" spans="1:10" x14ac:dyDescent="0.25">
      <c r="A46" s="1"/>
      <c r="B46" s="17" t="s">
        <v>80</v>
      </c>
      <c r="C46" s="2"/>
      <c r="D46" s="2"/>
      <c r="E46" s="2"/>
      <c r="F46" s="2"/>
      <c r="G46" s="1"/>
      <c r="H46" s="1"/>
      <c r="I46" s="1"/>
      <c r="J46" s="1"/>
    </row>
    <row r="47" spans="1:10" x14ac:dyDescent="0.25">
      <c r="A47" s="1"/>
      <c r="B47" s="6" t="s">
        <v>85</v>
      </c>
      <c r="C47" s="2">
        <v>23</v>
      </c>
      <c r="D47" s="2"/>
      <c r="E47" s="2">
        <f>C47*J6</f>
        <v>23</v>
      </c>
      <c r="F47" s="2" t="s">
        <v>86</v>
      </c>
      <c r="G47" s="1"/>
      <c r="H47" s="1"/>
      <c r="I47" s="1"/>
      <c r="J47" s="1"/>
    </row>
    <row r="48" spans="1:10" x14ac:dyDescent="0.25">
      <c r="A48" s="1"/>
      <c r="B48" s="6" t="s">
        <v>87</v>
      </c>
      <c r="C48" s="2">
        <v>60</v>
      </c>
      <c r="D48" s="2"/>
      <c r="E48" s="2">
        <f>C48</f>
        <v>60</v>
      </c>
      <c r="F48" s="2" t="s">
        <v>88</v>
      </c>
      <c r="G48" s="1"/>
      <c r="H48" s="1"/>
      <c r="I48" s="1"/>
      <c r="J48" s="1"/>
    </row>
    <row r="49" spans="1:10" x14ac:dyDescent="0.25">
      <c r="A49" s="1"/>
      <c r="B49" s="6" t="s">
        <v>89</v>
      </c>
      <c r="C49" s="2">
        <v>60</v>
      </c>
      <c r="D49" s="2"/>
      <c r="E49" s="2">
        <f>C49</f>
        <v>60</v>
      </c>
      <c r="F49" s="2" t="s">
        <v>88</v>
      </c>
      <c r="G49" s="1"/>
      <c r="H49" s="1"/>
      <c r="I49" s="1"/>
      <c r="J49" s="1"/>
    </row>
    <row r="50" spans="1:10" x14ac:dyDescent="0.25">
      <c r="A50" s="1"/>
      <c r="B50" s="6" t="s">
        <v>90</v>
      </c>
      <c r="C50" s="2">
        <v>35</v>
      </c>
      <c r="D50" s="2"/>
      <c r="E50" s="2">
        <f>C50</f>
        <v>35</v>
      </c>
      <c r="F50" s="2" t="s">
        <v>91</v>
      </c>
      <c r="G50" s="30"/>
      <c r="H50" s="1"/>
      <c r="I50" s="1"/>
      <c r="J50" s="1"/>
    </row>
    <row r="51" spans="1:10" x14ac:dyDescent="0.25">
      <c r="A51" s="1"/>
      <c r="B51" s="6" t="s">
        <v>92</v>
      </c>
      <c r="C51" s="2">
        <v>4.5</v>
      </c>
      <c r="D51" s="2"/>
      <c r="E51" s="24">
        <f>MAX((C51*J6),20)</f>
        <v>20</v>
      </c>
      <c r="F51" s="2" t="s">
        <v>93</v>
      </c>
      <c r="G51" s="1"/>
      <c r="H51" s="1"/>
      <c r="I51" s="1"/>
      <c r="J51" s="1"/>
    </row>
    <row r="52" spans="1:10" x14ac:dyDescent="0.25">
      <c r="A52" s="1"/>
      <c r="B52" s="6" t="s">
        <v>94</v>
      </c>
      <c r="C52" s="2">
        <v>3.5</v>
      </c>
      <c r="D52" s="2"/>
      <c r="E52" s="2">
        <f>MAX((C52*J6),15)</f>
        <v>15</v>
      </c>
      <c r="F52" s="2" t="s">
        <v>95</v>
      </c>
      <c r="G52" s="1"/>
      <c r="H52" s="1"/>
      <c r="I52" s="1"/>
      <c r="J52" s="1"/>
    </row>
    <row r="53" spans="1:10" x14ac:dyDescent="0.25">
      <c r="A53" s="1"/>
      <c r="B53" s="6" t="s">
        <v>96</v>
      </c>
      <c r="C53" s="19">
        <v>0.03</v>
      </c>
      <c r="D53" s="2"/>
      <c r="E53" s="24">
        <v>40</v>
      </c>
      <c r="F53" s="2" t="s">
        <v>97</v>
      </c>
      <c r="G53" s="1"/>
      <c r="H53" s="1"/>
      <c r="I53" s="1"/>
      <c r="J53" s="1"/>
    </row>
    <row r="54" spans="1:10" x14ac:dyDescent="0.25">
      <c r="A54" s="1"/>
      <c r="B54" s="17" t="s">
        <v>76</v>
      </c>
      <c r="C54" s="2"/>
      <c r="D54" s="2"/>
      <c r="E54" s="2"/>
      <c r="F54" s="2"/>
      <c r="G54" s="1"/>
      <c r="H54" s="1"/>
      <c r="I54" s="1"/>
      <c r="J54" s="1"/>
    </row>
    <row r="55" spans="1:10" x14ac:dyDescent="0.25">
      <c r="A55" s="1"/>
      <c r="B55" s="6" t="s">
        <v>84</v>
      </c>
      <c r="C55" s="2">
        <v>350</v>
      </c>
      <c r="D55" s="2"/>
      <c r="E55" s="2">
        <v>350</v>
      </c>
      <c r="F55" s="2" t="s">
        <v>77</v>
      </c>
      <c r="G55" s="1"/>
      <c r="H55" s="1"/>
      <c r="I55" s="1"/>
      <c r="J55" s="1"/>
    </row>
    <row r="56" spans="1:10" x14ac:dyDescent="0.25">
      <c r="A56" s="1"/>
      <c r="B56" s="6" t="s">
        <v>78</v>
      </c>
      <c r="C56" s="2">
        <v>650</v>
      </c>
      <c r="D56" s="2"/>
      <c r="E56" s="2">
        <v>650</v>
      </c>
      <c r="F56" s="2" t="s">
        <v>79</v>
      </c>
      <c r="G56" s="1"/>
      <c r="H56" s="1"/>
      <c r="I56" s="1"/>
      <c r="J56" s="1"/>
    </row>
    <row r="57" spans="1:10" x14ac:dyDescent="0.25">
      <c r="A57" s="1"/>
      <c r="B57" s="1"/>
      <c r="C57" s="1"/>
      <c r="D57" s="8" t="s">
        <v>98</v>
      </c>
      <c r="E57" s="24">
        <f>SUM(E26:E55)</f>
        <v>7956.7339033333337</v>
      </c>
      <c r="F57" s="2" t="s">
        <v>99</v>
      </c>
      <c r="G57" s="25">
        <f>(E57*J4)/I4</f>
        <v>3.1202878052287581</v>
      </c>
      <c r="H57" s="1"/>
      <c r="I57" s="1"/>
      <c r="J57" s="1"/>
    </row>
    <row r="58" spans="1:10" x14ac:dyDescent="0.25">
      <c r="A58" s="1"/>
      <c r="B58" s="1"/>
      <c r="C58" s="1"/>
      <c r="D58" s="1"/>
      <c r="E58" s="24">
        <f>SUM(E26:E53,E56)</f>
        <v>8256.7339033333337</v>
      </c>
      <c r="F58" s="2" t="s">
        <v>100</v>
      </c>
      <c r="G58" s="25">
        <f>(E58*J4)/I4</f>
        <v>3.2379348640522876</v>
      </c>
      <c r="H58" s="1"/>
      <c r="I58" s="1"/>
      <c r="J58" s="1"/>
    </row>
  </sheetData>
  <sheetProtection sheet="1" objects="1" scenarios="1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selection activeCell="B2" sqref="B2"/>
    </sheetView>
  </sheetViews>
  <sheetFormatPr baseColWidth="10" defaultRowHeight="15" x14ac:dyDescent="0.25"/>
  <cols>
    <col min="1" max="1" width="2.140625" customWidth="1"/>
    <col min="2" max="2" width="32.85546875" customWidth="1"/>
    <col min="6" max="6" width="47.85546875" customWidth="1"/>
    <col min="8" max="8" width="25.5703125" customWidth="1"/>
  </cols>
  <sheetData>
    <row r="1" spans="1:10" x14ac:dyDescent="0.25">
      <c r="A1" s="1"/>
      <c r="B1" s="9" t="s">
        <v>161</v>
      </c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9" t="s">
        <v>150</v>
      </c>
      <c r="C2" s="1"/>
      <c r="D2" s="1" t="s">
        <v>112</v>
      </c>
      <c r="E2" s="1"/>
      <c r="F2" s="1"/>
      <c r="G2" s="1"/>
      <c r="H2" s="18"/>
      <c r="I2" s="1"/>
      <c r="J2" s="1"/>
    </row>
    <row r="3" spans="1:10" x14ac:dyDescent="0.25">
      <c r="A3" s="1"/>
      <c r="B3" s="15" t="s">
        <v>121</v>
      </c>
      <c r="C3" s="15"/>
      <c r="D3" s="15"/>
      <c r="E3" s="33"/>
      <c r="F3" s="15" t="s">
        <v>2</v>
      </c>
      <c r="G3" s="34" t="s">
        <v>151</v>
      </c>
      <c r="H3" s="15" t="s">
        <v>121</v>
      </c>
      <c r="I3" s="35" t="s">
        <v>122</v>
      </c>
      <c r="J3" s="1"/>
    </row>
    <row r="4" spans="1:10" x14ac:dyDescent="0.25">
      <c r="A4" s="1"/>
      <c r="B4" s="6" t="s">
        <v>107</v>
      </c>
      <c r="C4" s="2">
        <v>15</v>
      </c>
      <c r="D4" s="2"/>
      <c r="E4" s="24">
        <f>C4</f>
        <v>15</v>
      </c>
      <c r="F4" s="2" t="s">
        <v>113</v>
      </c>
      <c r="G4" s="1"/>
      <c r="H4" s="6" t="s">
        <v>6</v>
      </c>
      <c r="I4" s="3">
        <v>2470</v>
      </c>
      <c r="J4" s="19">
        <v>1</v>
      </c>
    </row>
    <row r="5" spans="1:10" x14ac:dyDescent="0.25">
      <c r="A5" s="1"/>
      <c r="B5" s="17" t="s">
        <v>152</v>
      </c>
      <c r="C5" s="2"/>
      <c r="D5" s="2"/>
      <c r="E5" s="24"/>
      <c r="F5" s="2"/>
      <c r="G5" s="1"/>
      <c r="H5" s="6" t="s">
        <v>8</v>
      </c>
      <c r="I5" s="3">
        <v>0.1062</v>
      </c>
      <c r="J5" s="1"/>
    </row>
    <row r="6" spans="1:10" x14ac:dyDescent="0.25">
      <c r="A6" s="1"/>
      <c r="B6" s="6" t="s">
        <v>153</v>
      </c>
      <c r="C6" s="27">
        <v>2E-3</v>
      </c>
      <c r="D6" s="2"/>
      <c r="E6" s="24">
        <f>MAX((I4+E4)*C6,40)+6</f>
        <v>46</v>
      </c>
      <c r="F6" s="2" t="s">
        <v>154</v>
      </c>
      <c r="G6" s="1"/>
      <c r="H6" s="6" t="s">
        <v>11</v>
      </c>
      <c r="I6" s="3">
        <v>0.125</v>
      </c>
      <c r="J6" s="2">
        <v>1</v>
      </c>
    </row>
    <row r="7" spans="1:10" x14ac:dyDescent="0.25">
      <c r="A7" s="1"/>
      <c r="B7" s="6"/>
      <c r="C7" s="2"/>
      <c r="D7" s="8" t="s">
        <v>4</v>
      </c>
      <c r="E7" s="24">
        <f>I4+E4+E6</f>
        <v>2531</v>
      </c>
      <c r="F7" s="2" t="s">
        <v>123</v>
      </c>
      <c r="G7" s="25">
        <f>E7*J4/I4</f>
        <v>1.0246963562753038</v>
      </c>
      <c r="H7" s="18"/>
      <c r="I7" s="1"/>
      <c r="J7" s="1"/>
    </row>
    <row r="8" spans="1:10" x14ac:dyDescent="0.25">
      <c r="A8" s="1"/>
      <c r="B8" s="17" t="s">
        <v>7</v>
      </c>
      <c r="C8" s="2"/>
      <c r="D8" s="2"/>
      <c r="E8" s="24"/>
      <c r="F8" s="2"/>
      <c r="G8" s="1"/>
      <c r="H8" s="6" t="s">
        <v>106</v>
      </c>
      <c r="I8" s="22" t="s">
        <v>104</v>
      </c>
      <c r="J8" s="1"/>
    </row>
    <row r="9" spans="1:10" x14ac:dyDescent="0.25">
      <c r="A9" s="1"/>
      <c r="B9" s="6" t="s">
        <v>9</v>
      </c>
      <c r="C9" s="2"/>
      <c r="D9" s="2"/>
      <c r="E9" s="24">
        <f>SUM(35*J6,35*21%)</f>
        <v>42.35</v>
      </c>
      <c r="F9" s="2" t="s">
        <v>10</v>
      </c>
      <c r="G9" s="1"/>
      <c r="H9" s="6" t="s">
        <v>20</v>
      </c>
      <c r="I9" s="22">
        <v>45</v>
      </c>
      <c r="J9" s="1"/>
    </row>
    <row r="10" spans="1:10" x14ac:dyDescent="0.25">
      <c r="A10" s="1"/>
      <c r="B10" s="6" t="s">
        <v>12</v>
      </c>
      <c r="C10" s="2"/>
      <c r="D10" s="2"/>
      <c r="E10" s="24">
        <f>60+(60*21%)</f>
        <v>72.599999999999994</v>
      </c>
      <c r="F10" s="2" t="s">
        <v>13</v>
      </c>
      <c r="G10" s="1"/>
      <c r="H10" s="6" t="s">
        <v>101</v>
      </c>
      <c r="I10" s="22">
        <v>2</v>
      </c>
      <c r="J10" s="1"/>
    </row>
    <row r="11" spans="1:10" x14ac:dyDescent="0.25">
      <c r="A11" s="1"/>
      <c r="B11" s="6" t="s">
        <v>14</v>
      </c>
      <c r="C11" s="2"/>
      <c r="D11" s="2"/>
      <c r="E11" s="24">
        <f>75+(75*21%)</f>
        <v>90.75</v>
      </c>
      <c r="F11" s="2" t="s">
        <v>15</v>
      </c>
      <c r="G11" s="1"/>
      <c r="H11" s="6" t="s">
        <v>24</v>
      </c>
      <c r="I11" s="22">
        <v>2</v>
      </c>
      <c r="J11" s="1"/>
    </row>
    <row r="12" spans="1:10" x14ac:dyDescent="0.25">
      <c r="A12" s="1"/>
      <c r="B12" s="6" t="s">
        <v>16</v>
      </c>
      <c r="C12" s="2"/>
      <c r="D12" s="2"/>
      <c r="E12" s="24">
        <f>45+(45*21%)</f>
        <v>54.45</v>
      </c>
      <c r="F12" s="2" t="s">
        <v>17</v>
      </c>
      <c r="G12" s="1"/>
      <c r="H12" s="6" t="s">
        <v>27</v>
      </c>
      <c r="I12" s="22">
        <v>5</v>
      </c>
      <c r="J12" s="1"/>
    </row>
    <row r="13" spans="1:10" x14ac:dyDescent="0.25">
      <c r="A13" s="1"/>
      <c r="B13" s="6" t="s">
        <v>18</v>
      </c>
      <c r="C13" s="2"/>
      <c r="D13" s="2"/>
      <c r="E13" s="24">
        <f>100+(100*21%)</f>
        <v>121</v>
      </c>
      <c r="F13" s="2" t="s">
        <v>19</v>
      </c>
      <c r="G13" s="1"/>
      <c r="H13" s="6" t="s">
        <v>103</v>
      </c>
      <c r="I13" s="4">
        <f>SUM(I9:I12)</f>
        <v>54</v>
      </c>
      <c r="J13" s="1"/>
    </row>
    <row r="14" spans="1:10" x14ac:dyDescent="0.25">
      <c r="A14" s="1"/>
      <c r="B14" s="6" t="s">
        <v>21</v>
      </c>
      <c r="C14" s="2"/>
      <c r="D14" s="2"/>
      <c r="E14" s="24"/>
      <c r="F14" s="2"/>
      <c r="G14" s="1"/>
      <c r="H14" s="18"/>
      <c r="I14" s="23"/>
      <c r="J14" s="1"/>
    </row>
    <row r="15" spans="1:10" x14ac:dyDescent="0.25">
      <c r="A15" s="1"/>
      <c r="B15" s="6" t="s">
        <v>22</v>
      </c>
      <c r="C15" s="2"/>
      <c r="D15" s="2"/>
      <c r="E15" s="24">
        <f>400+400*21%</f>
        <v>484</v>
      </c>
      <c r="F15" s="2" t="s">
        <v>23</v>
      </c>
      <c r="G15" s="1"/>
      <c r="H15" s="6" t="s">
        <v>102</v>
      </c>
      <c r="I15" s="4">
        <v>2</v>
      </c>
      <c r="J15" s="1"/>
    </row>
    <row r="16" spans="1:10" x14ac:dyDescent="0.25">
      <c r="A16" s="1"/>
      <c r="B16" s="6" t="s">
        <v>25</v>
      </c>
      <c r="C16" s="2"/>
      <c r="D16" s="2"/>
      <c r="E16" s="24">
        <f>150+150*21%</f>
        <v>181.5</v>
      </c>
      <c r="F16" s="2" t="s">
        <v>26</v>
      </c>
      <c r="G16" s="1"/>
      <c r="H16" s="6" t="s">
        <v>24</v>
      </c>
      <c r="I16" s="22">
        <v>2</v>
      </c>
      <c r="J16" s="1"/>
    </row>
    <row r="17" spans="1:10" x14ac:dyDescent="0.25">
      <c r="A17" s="1"/>
      <c r="B17" s="6" t="s">
        <v>28</v>
      </c>
      <c r="C17" s="2"/>
      <c r="D17" s="2"/>
      <c r="E17" s="24">
        <f>125+125*21%</f>
        <v>151.25</v>
      </c>
      <c r="F17" s="2" t="s">
        <v>29</v>
      </c>
      <c r="G17" s="1"/>
      <c r="H17" s="6" t="s">
        <v>27</v>
      </c>
      <c r="I17" s="22">
        <v>5</v>
      </c>
      <c r="J17" s="1"/>
    </row>
    <row r="18" spans="1:10" x14ac:dyDescent="0.25">
      <c r="A18" s="1"/>
      <c r="B18" s="6" t="s">
        <v>30</v>
      </c>
      <c r="C18" s="2">
        <v>45</v>
      </c>
      <c r="D18" s="2"/>
      <c r="E18" s="24">
        <f>C18*J6</f>
        <v>45</v>
      </c>
      <c r="F18" s="2" t="s">
        <v>124</v>
      </c>
      <c r="G18" s="1"/>
      <c r="H18" s="6" t="s">
        <v>105</v>
      </c>
      <c r="I18" s="22">
        <f>SUM(I9,I15:I17)</f>
        <v>54</v>
      </c>
      <c r="J18" s="1"/>
    </row>
    <row r="19" spans="1:10" x14ac:dyDescent="0.25">
      <c r="A19" s="1"/>
      <c r="B19" s="6"/>
      <c r="C19" s="2"/>
      <c r="D19" s="8" t="s">
        <v>32</v>
      </c>
      <c r="E19" s="24">
        <f>SUM(E7:E18)</f>
        <v>3773.8999999999996</v>
      </c>
      <c r="F19" s="2"/>
      <c r="G19" s="1"/>
      <c r="H19" s="18"/>
      <c r="I19" s="1"/>
      <c r="J19" s="1"/>
    </row>
    <row r="20" spans="1:10" x14ac:dyDescent="0.25">
      <c r="A20" s="1"/>
      <c r="B20" s="17" t="s">
        <v>33</v>
      </c>
      <c r="C20" s="2"/>
      <c r="D20" s="2"/>
      <c r="E20" s="24"/>
      <c r="F20" s="2"/>
      <c r="G20" s="1"/>
      <c r="H20" s="6" t="s">
        <v>109</v>
      </c>
      <c r="I20" s="41">
        <f>E58</f>
        <v>8136.7056366666657</v>
      </c>
      <c r="J20" s="1"/>
    </row>
    <row r="21" spans="1:10" x14ac:dyDescent="0.25">
      <c r="A21" s="1"/>
      <c r="B21" s="6" t="s">
        <v>34</v>
      </c>
      <c r="C21" s="19">
        <v>0.12</v>
      </c>
      <c r="D21" s="2"/>
      <c r="E21" s="24">
        <f>MIN((I4*C21),(((E19+I4*12%)*3))/45)</f>
        <v>271.35333333333335</v>
      </c>
      <c r="F21" s="2" t="s">
        <v>35</v>
      </c>
      <c r="G21" s="1"/>
      <c r="H21" s="6" t="s">
        <v>110</v>
      </c>
      <c r="I21" s="42">
        <v>0.35</v>
      </c>
      <c r="J21" s="1"/>
    </row>
    <row r="22" spans="1:10" x14ac:dyDescent="0.25">
      <c r="A22" s="1"/>
      <c r="B22" s="6" t="s">
        <v>36</v>
      </c>
      <c r="C22" s="27">
        <v>4.4999999999999998E-2</v>
      </c>
      <c r="D22" s="2"/>
      <c r="E22" s="24">
        <f>E19*C22</f>
        <v>169.82549999999998</v>
      </c>
      <c r="F22" s="2" t="s">
        <v>37</v>
      </c>
      <c r="G22" s="1"/>
      <c r="H22" s="6" t="s">
        <v>111</v>
      </c>
      <c r="I22" s="41">
        <f>(I20*I21)+I20</f>
        <v>10984.552609499999</v>
      </c>
      <c r="J22" s="1"/>
    </row>
    <row r="23" spans="1:10" x14ac:dyDescent="0.25">
      <c r="A23" s="1"/>
      <c r="B23" s="6"/>
      <c r="C23" s="19"/>
      <c r="D23" s="8" t="s">
        <v>38</v>
      </c>
      <c r="E23" s="24">
        <f>SUM(E19:E22)</f>
        <v>4215.078833333333</v>
      </c>
      <c r="F23" s="2"/>
      <c r="G23" s="25">
        <f>(E23*J4)/I4</f>
        <v>1.7065096491228069</v>
      </c>
      <c r="H23" s="28"/>
      <c r="I23" s="1"/>
      <c r="J23" s="1"/>
    </row>
    <row r="24" spans="1:10" x14ac:dyDescent="0.25">
      <c r="A24" s="1"/>
      <c r="B24" s="6" t="s">
        <v>114</v>
      </c>
      <c r="C24" s="2">
        <v>125</v>
      </c>
      <c r="D24" s="2"/>
      <c r="E24" s="2">
        <f>MAX((C24*I5),225)</f>
        <v>225</v>
      </c>
      <c r="F24" s="2" t="s">
        <v>39</v>
      </c>
      <c r="G24" s="1"/>
      <c r="H24" s="1"/>
      <c r="I24" s="1"/>
      <c r="J24" s="1"/>
    </row>
    <row r="25" spans="1:10" x14ac:dyDescent="0.25">
      <c r="A25" s="1"/>
      <c r="B25" s="6" t="s">
        <v>40</v>
      </c>
      <c r="C25" s="27">
        <v>5.4999999999999997E-3</v>
      </c>
      <c r="D25" s="2"/>
      <c r="E25" s="2">
        <f>MAX((C25*E23),100)</f>
        <v>100</v>
      </c>
      <c r="F25" s="2" t="s">
        <v>41</v>
      </c>
      <c r="G25" s="1"/>
      <c r="H25" s="29"/>
      <c r="I25" s="1"/>
      <c r="J25" s="1"/>
    </row>
    <row r="26" spans="1:10" x14ac:dyDescent="0.25">
      <c r="A26" s="1"/>
      <c r="B26" s="6"/>
      <c r="C26" s="2"/>
      <c r="D26" s="8" t="s">
        <v>42</v>
      </c>
      <c r="E26" s="24">
        <f>SUM(E23:E25)</f>
        <v>4540.078833333333</v>
      </c>
      <c r="F26" s="2"/>
      <c r="G26" s="25">
        <f>(J4*E26)/I4</f>
        <v>1.8380885964912279</v>
      </c>
      <c r="H26" s="1"/>
      <c r="I26" s="1"/>
      <c r="J26" s="1"/>
    </row>
    <row r="27" spans="1:10" x14ac:dyDescent="0.25">
      <c r="A27" s="1"/>
      <c r="B27" s="6" t="s">
        <v>43</v>
      </c>
      <c r="C27" s="19">
        <v>0.01</v>
      </c>
      <c r="D27" s="2"/>
      <c r="E27" s="2">
        <f>MAX((C27*E26),300)</f>
        <v>300</v>
      </c>
      <c r="F27" s="2" t="s">
        <v>44</v>
      </c>
      <c r="G27" s="1"/>
      <c r="H27" s="1"/>
      <c r="I27" s="1"/>
      <c r="J27" s="1"/>
    </row>
    <row r="28" spans="1:10" x14ac:dyDescent="0.25">
      <c r="A28" s="1"/>
      <c r="B28" s="17" t="s">
        <v>45</v>
      </c>
      <c r="C28" s="2"/>
      <c r="D28" s="2"/>
      <c r="E28" s="2"/>
      <c r="F28" s="2" t="s">
        <v>46</v>
      </c>
      <c r="G28" s="1"/>
      <c r="H28" s="1"/>
      <c r="I28" s="1"/>
      <c r="J28" s="1"/>
    </row>
    <row r="29" spans="1:10" x14ac:dyDescent="0.25">
      <c r="A29" s="1"/>
      <c r="B29" s="6" t="s">
        <v>47</v>
      </c>
      <c r="C29" s="27">
        <v>5.0000000000000001E-3</v>
      </c>
      <c r="D29" s="2"/>
      <c r="E29" s="2">
        <f>MAX((C29*E26),200)</f>
        <v>200</v>
      </c>
      <c r="F29" s="2" t="s">
        <v>48</v>
      </c>
      <c r="G29" s="1"/>
      <c r="H29" s="1"/>
      <c r="I29" s="1"/>
      <c r="J29" s="1"/>
    </row>
    <row r="30" spans="1:10" x14ac:dyDescent="0.25">
      <c r="A30" s="1"/>
      <c r="B30" s="6" t="s">
        <v>49</v>
      </c>
      <c r="C30" s="2">
        <v>85</v>
      </c>
      <c r="D30" s="2"/>
      <c r="E30" s="2">
        <f t="shared" ref="E30:E36" si="0">C30</f>
        <v>85</v>
      </c>
      <c r="F30" s="2" t="s">
        <v>50</v>
      </c>
      <c r="G30" s="1"/>
      <c r="H30" s="1"/>
      <c r="I30" s="1"/>
      <c r="J30" s="1"/>
    </row>
    <row r="31" spans="1:10" x14ac:dyDescent="0.25">
      <c r="A31" s="1"/>
      <c r="B31" s="6" t="s">
        <v>51</v>
      </c>
      <c r="C31" s="2">
        <v>80</v>
      </c>
      <c r="D31" s="2"/>
      <c r="E31" s="2">
        <f t="shared" si="0"/>
        <v>80</v>
      </c>
      <c r="F31" s="2" t="s">
        <v>52</v>
      </c>
      <c r="G31" s="1"/>
      <c r="H31" s="1"/>
      <c r="I31" s="1"/>
      <c r="J31" s="1"/>
    </row>
    <row r="32" spans="1:10" x14ac:dyDescent="0.25">
      <c r="A32" s="1"/>
      <c r="B32" s="6" t="s">
        <v>53</v>
      </c>
      <c r="C32" s="2">
        <v>40</v>
      </c>
      <c r="D32" s="2"/>
      <c r="E32" s="2">
        <f t="shared" si="0"/>
        <v>40</v>
      </c>
      <c r="F32" s="2" t="s">
        <v>54</v>
      </c>
      <c r="G32" s="1"/>
      <c r="H32" s="1"/>
      <c r="I32" s="1"/>
      <c r="J32" s="1"/>
    </row>
    <row r="33" spans="1:10" x14ac:dyDescent="0.25">
      <c r="A33" s="1"/>
      <c r="B33" s="6" t="s">
        <v>55</v>
      </c>
      <c r="C33" s="2">
        <v>40</v>
      </c>
      <c r="D33" s="2"/>
      <c r="E33" s="2">
        <f t="shared" si="0"/>
        <v>40</v>
      </c>
      <c r="F33" s="2" t="s">
        <v>54</v>
      </c>
      <c r="G33" s="1"/>
      <c r="H33" s="1"/>
      <c r="I33" s="1"/>
      <c r="J33" s="1"/>
    </row>
    <row r="34" spans="1:10" x14ac:dyDescent="0.25">
      <c r="A34" s="1"/>
      <c r="B34" s="6" t="s">
        <v>56</v>
      </c>
      <c r="C34" s="2">
        <v>100</v>
      </c>
      <c r="D34" s="2"/>
      <c r="E34" s="2">
        <f t="shared" si="0"/>
        <v>100</v>
      </c>
      <c r="F34" s="2" t="s">
        <v>57</v>
      </c>
      <c r="G34" s="1"/>
      <c r="H34" s="1"/>
      <c r="I34" s="1"/>
      <c r="J34" s="1"/>
    </row>
    <row r="35" spans="1:10" x14ac:dyDescent="0.25">
      <c r="A35" s="1"/>
      <c r="B35" s="6" t="s">
        <v>58</v>
      </c>
      <c r="C35" s="2">
        <v>50</v>
      </c>
      <c r="D35" s="2"/>
      <c r="E35" s="2">
        <f t="shared" si="0"/>
        <v>50</v>
      </c>
      <c r="F35" s="2" t="s">
        <v>59</v>
      </c>
      <c r="G35" s="1"/>
      <c r="H35" s="1"/>
      <c r="I35" s="1"/>
      <c r="J35" s="1"/>
    </row>
    <row r="36" spans="1:10" x14ac:dyDescent="0.25">
      <c r="A36" s="1"/>
      <c r="B36" s="6" t="s">
        <v>60</v>
      </c>
      <c r="C36" s="2">
        <v>70</v>
      </c>
      <c r="D36" s="2"/>
      <c r="E36" s="2">
        <f t="shared" si="0"/>
        <v>70</v>
      </c>
      <c r="F36" s="2" t="s">
        <v>61</v>
      </c>
      <c r="G36" s="1"/>
      <c r="H36" s="1"/>
      <c r="I36" s="1"/>
      <c r="J36" s="1"/>
    </row>
    <row r="37" spans="1:10" x14ac:dyDescent="0.25">
      <c r="A37" s="1"/>
      <c r="B37" s="17" t="s">
        <v>62</v>
      </c>
      <c r="C37" s="2"/>
      <c r="D37" s="2"/>
      <c r="E37" s="2"/>
      <c r="F37" s="2"/>
      <c r="G37" s="1"/>
      <c r="H37" s="1"/>
      <c r="I37" s="1"/>
      <c r="J37" s="1"/>
    </row>
    <row r="38" spans="1:10" x14ac:dyDescent="0.25">
      <c r="A38" s="1"/>
      <c r="B38" s="6" t="s">
        <v>63</v>
      </c>
      <c r="C38" s="2">
        <v>8</v>
      </c>
      <c r="D38" s="2"/>
      <c r="E38" s="2">
        <f>MAX((C38*J6),30)</f>
        <v>30</v>
      </c>
      <c r="F38" s="2" t="s">
        <v>119</v>
      </c>
      <c r="G38" s="1"/>
      <c r="H38" s="1"/>
      <c r="I38" s="1"/>
      <c r="J38" s="1"/>
    </row>
    <row r="39" spans="1:10" x14ac:dyDescent="0.25">
      <c r="A39" s="1"/>
      <c r="B39" s="6" t="s">
        <v>65</v>
      </c>
      <c r="C39" s="2">
        <v>50</v>
      </c>
      <c r="D39" s="2"/>
      <c r="E39" s="2">
        <v>50</v>
      </c>
      <c r="F39" s="2" t="s">
        <v>120</v>
      </c>
      <c r="G39" s="1"/>
      <c r="H39" s="1"/>
      <c r="I39" s="1"/>
      <c r="J39" s="1"/>
    </row>
    <row r="40" spans="1:10" x14ac:dyDescent="0.25">
      <c r="A40" s="1"/>
      <c r="B40" s="6" t="s">
        <v>67</v>
      </c>
      <c r="C40" s="2">
        <v>10</v>
      </c>
      <c r="D40" s="2"/>
      <c r="E40" s="2">
        <v>10</v>
      </c>
      <c r="F40" s="2" t="s">
        <v>68</v>
      </c>
      <c r="G40" s="1"/>
      <c r="H40" s="1"/>
      <c r="I40" s="1"/>
      <c r="J40" s="1"/>
    </row>
    <row r="41" spans="1:10" x14ac:dyDescent="0.25">
      <c r="A41" s="1"/>
      <c r="B41" s="6" t="s">
        <v>69</v>
      </c>
      <c r="C41" s="2">
        <v>80</v>
      </c>
      <c r="D41" s="2"/>
      <c r="E41" s="2">
        <v>80</v>
      </c>
      <c r="F41" s="2" t="s">
        <v>52</v>
      </c>
      <c r="G41" s="1"/>
      <c r="H41" s="1"/>
      <c r="I41" s="1"/>
      <c r="J41" s="1"/>
    </row>
    <row r="42" spans="1:10" x14ac:dyDescent="0.25">
      <c r="A42" s="1"/>
      <c r="B42" s="6" t="s">
        <v>70</v>
      </c>
      <c r="C42" s="2">
        <v>5</v>
      </c>
      <c r="D42" s="2"/>
      <c r="E42" s="24">
        <f>PRODUCT(C42,J6,3)</f>
        <v>15</v>
      </c>
      <c r="F42" s="2" t="s">
        <v>71</v>
      </c>
      <c r="G42" s="1"/>
      <c r="H42" s="1"/>
      <c r="I42" s="1"/>
      <c r="J42" s="1"/>
    </row>
    <row r="43" spans="1:10" x14ac:dyDescent="0.25">
      <c r="A43" s="1"/>
      <c r="B43" s="17" t="s">
        <v>72</v>
      </c>
      <c r="C43" s="2"/>
      <c r="D43" s="2"/>
      <c r="E43" s="2"/>
      <c r="F43" s="2"/>
      <c r="G43" s="1"/>
      <c r="H43" s="1"/>
      <c r="I43" s="1"/>
      <c r="J43" s="1"/>
    </row>
    <row r="44" spans="1:10" x14ac:dyDescent="0.25">
      <c r="A44" s="1"/>
      <c r="B44" s="6" t="s">
        <v>73</v>
      </c>
      <c r="C44" s="19">
        <v>0.15</v>
      </c>
      <c r="D44" s="2"/>
      <c r="E44" s="24">
        <f>(C44*E26)</f>
        <v>681.01182499999993</v>
      </c>
      <c r="F44" s="2" t="s">
        <v>83</v>
      </c>
      <c r="G44" s="1"/>
      <c r="H44" s="1"/>
      <c r="I44" s="1"/>
      <c r="J44" s="1"/>
    </row>
    <row r="45" spans="1:10" x14ac:dyDescent="0.25">
      <c r="A45" s="1"/>
      <c r="B45" s="6" t="s">
        <v>74</v>
      </c>
      <c r="C45" s="19">
        <v>0.19</v>
      </c>
      <c r="D45" s="2"/>
      <c r="E45" s="24">
        <f>C45*E26</f>
        <v>862.61497833333328</v>
      </c>
      <c r="F45" s="2" t="s">
        <v>75</v>
      </c>
      <c r="G45" s="1"/>
      <c r="H45" s="1"/>
      <c r="I45" s="1"/>
      <c r="J45" s="1"/>
    </row>
    <row r="46" spans="1:10" x14ac:dyDescent="0.25">
      <c r="A46" s="1"/>
      <c r="B46" s="17" t="s">
        <v>80</v>
      </c>
      <c r="C46" s="2"/>
      <c r="D46" s="2"/>
      <c r="E46" s="2"/>
      <c r="F46" s="2"/>
      <c r="G46" s="1"/>
      <c r="H46" s="1"/>
      <c r="I46" s="1"/>
      <c r="J46" s="1"/>
    </row>
    <row r="47" spans="1:10" x14ac:dyDescent="0.25">
      <c r="A47" s="1"/>
      <c r="B47" s="6" t="s">
        <v>85</v>
      </c>
      <c r="C47" s="2">
        <v>23</v>
      </c>
      <c r="D47" s="2"/>
      <c r="E47" s="2">
        <f>C47*J6</f>
        <v>23</v>
      </c>
      <c r="F47" s="2" t="s">
        <v>86</v>
      </c>
      <c r="G47" s="1"/>
      <c r="H47" s="1"/>
      <c r="I47" s="1"/>
      <c r="J47" s="1"/>
    </row>
    <row r="48" spans="1:10" x14ac:dyDescent="0.25">
      <c r="A48" s="1"/>
      <c r="B48" s="6" t="s">
        <v>87</v>
      </c>
      <c r="C48" s="2">
        <v>60</v>
      </c>
      <c r="D48" s="2"/>
      <c r="E48" s="2">
        <f>C48</f>
        <v>60</v>
      </c>
      <c r="F48" s="2" t="s">
        <v>88</v>
      </c>
      <c r="G48" s="1"/>
      <c r="H48" s="1"/>
      <c r="I48" s="1"/>
      <c r="J48" s="1"/>
    </row>
    <row r="49" spans="1:10" x14ac:dyDescent="0.25">
      <c r="A49" s="1"/>
      <c r="B49" s="6" t="s">
        <v>89</v>
      </c>
      <c r="C49" s="2">
        <v>60</v>
      </c>
      <c r="D49" s="2"/>
      <c r="E49" s="2">
        <f>C49</f>
        <v>60</v>
      </c>
      <c r="F49" s="2" t="s">
        <v>88</v>
      </c>
      <c r="G49" s="1"/>
      <c r="H49" s="1"/>
      <c r="I49" s="1"/>
      <c r="J49" s="1"/>
    </row>
    <row r="50" spans="1:10" x14ac:dyDescent="0.25">
      <c r="A50" s="1"/>
      <c r="B50" s="6" t="s">
        <v>90</v>
      </c>
      <c r="C50" s="2">
        <v>35</v>
      </c>
      <c r="D50" s="2"/>
      <c r="E50" s="2">
        <f>C50</f>
        <v>35</v>
      </c>
      <c r="F50" s="2" t="s">
        <v>91</v>
      </c>
      <c r="G50" s="30"/>
      <c r="H50" s="1"/>
      <c r="I50" s="1"/>
      <c r="J50" s="1"/>
    </row>
    <row r="51" spans="1:10" x14ac:dyDescent="0.25">
      <c r="A51" s="1"/>
      <c r="B51" s="6" t="s">
        <v>92</v>
      </c>
      <c r="C51" s="2">
        <v>4.5</v>
      </c>
      <c r="D51" s="2"/>
      <c r="E51" s="24">
        <f>MAX((C51*J6),20)</f>
        <v>20</v>
      </c>
      <c r="F51" s="2" t="s">
        <v>93</v>
      </c>
      <c r="G51" s="1"/>
      <c r="H51" s="1"/>
      <c r="I51" s="1"/>
      <c r="J51" s="1"/>
    </row>
    <row r="52" spans="1:10" x14ac:dyDescent="0.25">
      <c r="A52" s="1"/>
      <c r="B52" s="6" t="s">
        <v>94</v>
      </c>
      <c r="C52" s="2">
        <v>3.5</v>
      </c>
      <c r="D52" s="2"/>
      <c r="E52" s="2">
        <f>MAX((C52*J6),15)</f>
        <v>15</v>
      </c>
      <c r="F52" s="2" t="s">
        <v>95</v>
      </c>
      <c r="G52" s="1"/>
      <c r="H52" s="1"/>
      <c r="I52" s="1"/>
      <c r="J52" s="1"/>
    </row>
    <row r="53" spans="1:10" x14ac:dyDescent="0.25">
      <c r="A53" s="1"/>
      <c r="B53" s="6" t="s">
        <v>96</v>
      </c>
      <c r="C53" s="19">
        <v>0.03</v>
      </c>
      <c r="D53" s="2"/>
      <c r="E53" s="24">
        <v>40</v>
      </c>
      <c r="F53" s="2" t="s">
        <v>97</v>
      </c>
      <c r="G53" s="1"/>
      <c r="H53" s="1"/>
      <c r="I53" s="1"/>
      <c r="J53" s="1"/>
    </row>
    <row r="54" spans="1:10" x14ac:dyDescent="0.25">
      <c r="A54" s="1"/>
      <c r="B54" s="17" t="s">
        <v>76</v>
      </c>
      <c r="C54" s="2"/>
      <c r="D54" s="2"/>
      <c r="E54" s="2"/>
      <c r="F54" s="2"/>
      <c r="G54" s="1"/>
      <c r="H54" s="1"/>
      <c r="I54" s="1"/>
      <c r="J54" s="1"/>
    </row>
    <row r="55" spans="1:10" x14ac:dyDescent="0.25">
      <c r="A55" s="1"/>
      <c r="B55" s="6" t="s">
        <v>84</v>
      </c>
      <c r="C55" s="2">
        <v>350</v>
      </c>
      <c r="D55" s="2"/>
      <c r="E55" s="2">
        <v>350</v>
      </c>
      <c r="F55" s="2" t="s">
        <v>77</v>
      </c>
      <c r="G55" s="1"/>
      <c r="H55" s="1"/>
      <c r="I55" s="1"/>
      <c r="J55" s="1"/>
    </row>
    <row r="56" spans="1:10" x14ac:dyDescent="0.25">
      <c r="A56" s="1"/>
      <c r="B56" s="6" t="s">
        <v>78</v>
      </c>
      <c r="C56" s="2">
        <v>650</v>
      </c>
      <c r="D56" s="2"/>
      <c r="E56" s="2">
        <v>650</v>
      </c>
      <c r="F56" s="2" t="s">
        <v>79</v>
      </c>
      <c r="G56" s="1"/>
      <c r="H56" s="1"/>
      <c r="I56" s="1"/>
      <c r="J56" s="1"/>
    </row>
    <row r="57" spans="1:10" x14ac:dyDescent="0.25">
      <c r="A57" s="1"/>
      <c r="B57" s="1"/>
      <c r="C57" s="1"/>
      <c r="D57" s="8" t="s">
        <v>98</v>
      </c>
      <c r="E57" s="24">
        <f>SUM(E26:E55)</f>
        <v>7836.7056366666657</v>
      </c>
      <c r="F57" s="2" t="s">
        <v>99</v>
      </c>
      <c r="G57" s="25">
        <f>(E57*J4)/I4</f>
        <v>3.1727553184885284</v>
      </c>
      <c r="H57" s="1"/>
      <c r="I57" s="1"/>
      <c r="J57" s="1"/>
    </row>
    <row r="58" spans="1:10" x14ac:dyDescent="0.25">
      <c r="A58" s="1"/>
      <c r="B58" s="1"/>
      <c r="C58" s="1"/>
      <c r="D58" s="1"/>
      <c r="E58" s="24">
        <f>SUM(E26:E53,E56)</f>
        <v>8136.7056366666657</v>
      </c>
      <c r="F58" s="2" t="s">
        <v>100</v>
      </c>
      <c r="G58" s="25">
        <f>(E58*J4)/I4</f>
        <v>3.294212808367071</v>
      </c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topLeftCell="A2" workbookViewId="0">
      <selection activeCell="H24" sqref="H24"/>
    </sheetView>
  </sheetViews>
  <sheetFormatPr baseColWidth="10" defaultRowHeight="15" x14ac:dyDescent="0.25"/>
  <cols>
    <col min="1" max="1" width="1.7109375" customWidth="1"/>
    <col min="2" max="2" width="34.140625" customWidth="1"/>
    <col min="7" max="7" width="11.285156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9" t="s">
        <v>158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9"/>
      <c r="C4" s="9" t="s">
        <v>125</v>
      </c>
      <c r="D4" s="30">
        <v>0.35</v>
      </c>
      <c r="E4" s="30"/>
      <c r="F4" s="1"/>
      <c r="G4" s="1"/>
      <c r="H4" s="1"/>
      <c r="I4" s="1"/>
      <c r="J4" s="1"/>
    </row>
    <row r="5" spans="1:10" x14ac:dyDescent="0.25">
      <c r="A5" s="1"/>
      <c r="B5" s="45" t="s">
        <v>126</v>
      </c>
      <c r="C5" s="2" t="s">
        <v>127</v>
      </c>
      <c r="D5" s="2" t="s">
        <v>128</v>
      </c>
      <c r="E5" s="2" t="s">
        <v>135</v>
      </c>
      <c r="F5" s="1"/>
      <c r="G5" s="1"/>
      <c r="H5" s="1"/>
      <c r="I5" s="1"/>
      <c r="J5" s="1"/>
    </row>
    <row r="6" spans="1:10" x14ac:dyDescent="0.25">
      <c r="A6" s="1"/>
      <c r="B6" s="6" t="s">
        <v>129</v>
      </c>
      <c r="C6" s="24">
        <f>MANGO!E8</f>
        <v>5261</v>
      </c>
      <c r="D6" s="24">
        <f>C6*D4+C6</f>
        <v>7102.35</v>
      </c>
      <c r="E6" s="24">
        <f>D6/CAJONES!E6</f>
        <v>71.023499999999999</v>
      </c>
      <c r="F6" s="1"/>
      <c r="G6" s="1"/>
      <c r="H6" s="1"/>
      <c r="I6" s="1"/>
      <c r="J6" s="1"/>
    </row>
    <row r="7" spans="1:10" x14ac:dyDescent="0.25">
      <c r="A7" s="1"/>
      <c r="B7" s="6" t="s">
        <v>130</v>
      </c>
      <c r="C7" s="24">
        <f>MANGO!E24</f>
        <v>7271.7688333333344</v>
      </c>
      <c r="D7" s="24">
        <f>C7*D4+C7</f>
        <v>9816.8879250000009</v>
      </c>
      <c r="E7" s="24">
        <f>D7/CAJONES!E6</f>
        <v>98.168879250000003</v>
      </c>
      <c r="F7" s="1"/>
      <c r="G7" s="1"/>
      <c r="H7" s="1"/>
      <c r="I7" s="1"/>
      <c r="J7" s="1"/>
    </row>
    <row r="8" spans="1:10" x14ac:dyDescent="0.25">
      <c r="A8" s="1"/>
      <c r="B8" s="6" t="s">
        <v>131</v>
      </c>
      <c r="C8" s="24">
        <f>MANGO!E27</f>
        <v>7596.7688333333344</v>
      </c>
      <c r="D8" s="24">
        <f>C8*D4+C8</f>
        <v>10255.637925000001</v>
      </c>
      <c r="E8" s="24">
        <f>D8/CAJONES!E6</f>
        <v>102.55637925000001</v>
      </c>
      <c r="F8" s="1"/>
      <c r="G8" s="1"/>
      <c r="H8" s="1"/>
      <c r="I8" s="1"/>
      <c r="J8" s="1"/>
    </row>
    <row r="9" spans="1:10" x14ac:dyDescent="0.25">
      <c r="A9" s="1"/>
      <c r="B9" s="6" t="s">
        <v>132</v>
      </c>
      <c r="C9" s="24">
        <f>MANGO!E59</f>
        <v>12232.670236666669</v>
      </c>
      <c r="D9" s="24">
        <f>C9*D4+C9</f>
        <v>16514.104819500004</v>
      </c>
      <c r="E9" s="24">
        <f>D9/CAJONES!E6</f>
        <v>165.14104819500005</v>
      </c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45" t="s">
        <v>133</v>
      </c>
      <c r="C11" s="2" t="s">
        <v>127</v>
      </c>
      <c r="D11" s="2" t="s">
        <v>128</v>
      </c>
      <c r="E11" s="2" t="s">
        <v>135</v>
      </c>
      <c r="F11" s="1"/>
      <c r="G11" s="1"/>
      <c r="H11" s="1"/>
      <c r="I11" s="1"/>
      <c r="J11" s="1"/>
    </row>
    <row r="12" spans="1:10" x14ac:dyDescent="0.25">
      <c r="A12" s="1"/>
      <c r="B12" s="6" t="s">
        <v>129</v>
      </c>
      <c r="C12" s="24">
        <f>VB!E7</f>
        <v>2611</v>
      </c>
      <c r="D12" s="24">
        <f>C12*D4+C12</f>
        <v>3524.85</v>
      </c>
      <c r="E12" s="24">
        <f>D12/CAJONES!E7</f>
        <v>41.468823529411765</v>
      </c>
      <c r="F12" s="1"/>
      <c r="G12" s="1"/>
      <c r="H12" s="1"/>
      <c r="I12" s="1"/>
      <c r="J12" s="1"/>
    </row>
    <row r="13" spans="1:10" x14ac:dyDescent="0.25">
      <c r="A13" s="1"/>
      <c r="B13" s="6" t="s">
        <v>130</v>
      </c>
      <c r="C13" s="24">
        <f>VB!E23</f>
        <v>4304.6521666666667</v>
      </c>
      <c r="D13" s="24">
        <f>C13*D4+C13</f>
        <v>5811.2804249999999</v>
      </c>
      <c r="E13" s="24">
        <f>D13/CAJONES!E7</f>
        <v>68.368004999999997</v>
      </c>
      <c r="F13" s="1"/>
      <c r="G13" s="1"/>
      <c r="H13" s="1"/>
      <c r="I13" s="1"/>
      <c r="J13" s="1"/>
    </row>
    <row r="14" spans="1:10" x14ac:dyDescent="0.25">
      <c r="A14" s="1"/>
      <c r="B14" s="6" t="s">
        <v>131</v>
      </c>
      <c r="C14" s="24">
        <f>VB!E26</f>
        <v>4629.6521666666667</v>
      </c>
      <c r="D14" s="24">
        <f>C14*D4+C14</f>
        <v>6250.0304249999999</v>
      </c>
      <c r="E14" s="24">
        <f>D14/CAJONES!E7</f>
        <v>73.529769705882359</v>
      </c>
      <c r="F14" s="1"/>
      <c r="G14" s="1"/>
      <c r="H14" s="1"/>
      <c r="I14" s="1"/>
      <c r="J14" s="1"/>
    </row>
    <row r="15" spans="1:10" x14ac:dyDescent="0.25">
      <c r="A15" s="1"/>
      <c r="B15" s="6" t="s">
        <v>132</v>
      </c>
      <c r="C15" s="24">
        <f>VB!E58</f>
        <v>8256.7339033333337</v>
      </c>
      <c r="D15" s="24">
        <f>C15*D4+C15</f>
        <v>11146.590769500001</v>
      </c>
      <c r="E15" s="24">
        <f>D15/CAJONES!E7</f>
        <v>131.13636199411766</v>
      </c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8"/>
    </row>
    <row r="17" spans="1:10" x14ac:dyDescent="0.25">
      <c r="A17" s="1"/>
      <c r="B17" s="45" t="s">
        <v>121</v>
      </c>
      <c r="C17" s="2" t="s">
        <v>127</v>
      </c>
      <c r="D17" s="2" t="s">
        <v>128</v>
      </c>
      <c r="E17" s="2" t="s">
        <v>135</v>
      </c>
      <c r="F17" s="1"/>
      <c r="G17" s="1"/>
      <c r="H17" s="1"/>
      <c r="I17" s="1"/>
      <c r="J17" s="1"/>
    </row>
    <row r="18" spans="1:10" x14ac:dyDescent="0.25">
      <c r="A18" s="1"/>
      <c r="B18" s="6" t="s">
        <v>129</v>
      </c>
      <c r="C18" s="24">
        <f>VR!E7</f>
        <v>2531</v>
      </c>
      <c r="D18" s="24">
        <f>C18*D4+C18</f>
        <v>3416.85</v>
      </c>
      <c r="E18" s="24">
        <f>D18/CAJONES!E8</f>
        <v>89.917105263157893</v>
      </c>
      <c r="F18" s="1"/>
      <c r="G18" s="1"/>
      <c r="H18" s="1"/>
      <c r="I18" s="1"/>
      <c r="J18" s="1"/>
    </row>
    <row r="19" spans="1:10" x14ac:dyDescent="0.25">
      <c r="A19" s="1"/>
      <c r="B19" s="6" t="s">
        <v>130</v>
      </c>
      <c r="C19" s="24">
        <f>VR!E23</f>
        <v>4215.078833333333</v>
      </c>
      <c r="D19" s="24">
        <f>C19*D4+C19</f>
        <v>5690.3564249999999</v>
      </c>
      <c r="E19" s="24">
        <f>D19/CAJONES!E8</f>
        <v>149.74622171052633</v>
      </c>
      <c r="F19" s="1"/>
      <c r="G19" s="1"/>
      <c r="H19" s="1"/>
      <c r="I19" s="1"/>
      <c r="J19" s="1"/>
    </row>
    <row r="20" spans="1:10" x14ac:dyDescent="0.25">
      <c r="A20" s="1"/>
      <c r="B20" s="6" t="s">
        <v>131</v>
      </c>
      <c r="C20" s="24">
        <f>VR!E26</f>
        <v>4540.078833333333</v>
      </c>
      <c r="D20" s="24">
        <f>C20*D4+C20</f>
        <v>6129.1064249999999</v>
      </c>
      <c r="E20" s="24">
        <f>D20/CAJONES!E8</f>
        <v>161.29227434210526</v>
      </c>
      <c r="F20" s="1"/>
      <c r="G20" s="1"/>
      <c r="H20" s="1"/>
      <c r="I20" s="1"/>
      <c r="J20" s="1"/>
    </row>
    <row r="21" spans="1:10" x14ac:dyDescent="0.25">
      <c r="A21" s="1"/>
      <c r="B21" s="6" t="s">
        <v>132</v>
      </c>
      <c r="C21" s="24">
        <f>VR!E58</f>
        <v>8136.7056366666657</v>
      </c>
      <c r="D21" s="24">
        <f>C21*D4+C21</f>
        <v>10984.552609499999</v>
      </c>
      <c r="E21" s="24">
        <f>D21/CAJONES!E8</f>
        <v>289.06717393421047</v>
      </c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45" t="s">
        <v>134</v>
      </c>
      <c r="C23" s="2" t="s">
        <v>127</v>
      </c>
      <c r="D23" s="2" t="s">
        <v>128</v>
      </c>
      <c r="E23" s="2" t="s">
        <v>135</v>
      </c>
      <c r="F23" s="2" t="s">
        <v>126</v>
      </c>
      <c r="G23" s="2" t="s">
        <v>149</v>
      </c>
      <c r="H23" s="2" t="s">
        <v>160</v>
      </c>
      <c r="I23" s="1"/>
      <c r="J23" s="1"/>
    </row>
    <row r="24" spans="1:10" x14ac:dyDescent="0.25">
      <c r="A24" s="1"/>
      <c r="B24" s="6" t="s">
        <v>129</v>
      </c>
      <c r="C24" s="24">
        <f>'3 EQUIPOS'!E7</f>
        <v>10311</v>
      </c>
      <c r="D24" s="24">
        <f>C24*D4+C24</f>
        <v>13919.85</v>
      </c>
      <c r="E24" s="20"/>
      <c r="F24" s="24">
        <f>((CAJONES!D6*'3 EQUIPOS'!G7)+(CAJONES!D6*'3 EQUIPOS'!G7)*D4)</f>
        <v>70.825068493150695</v>
      </c>
      <c r="G24" s="24">
        <f>CAJONES!D7*'3 EQUIPOS'!G7+(CAJONES!D7*'3 EQUIPOS'!G7)*D4</f>
        <v>40.860616438356168</v>
      </c>
      <c r="H24" s="24">
        <f>(CAJONES!D8*'3 EQUIPOS'!G7+(CAJONES!D8*'3 EQUIPOS'!G7)*PRECIOS!D4)</f>
        <v>88.531335616438355</v>
      </c>
      <c r="I24" s="1"/>
      <c r="J24" s="1"/>
    </row>
    <row r="25" spans="1:10" x14ac:dyDescent="0.25">
      <c r="A25" s="1"/>
      <c r="B25" s="6" t="s">
        <v>130</v>
      </c>
      <c r="C25" s="24">
        <f>'3 EQUIPOS'!E23</f>
        <v>12925.845500000001</v>
      </c>
      <c r="D25" s="43">
        <f>C25*D4+C25</f>
        <v>17449.891425000002</v>
      </c>
      <c r="E25" s="44"/>
      <c r="F25" s="24">
        <f>(CAJONES!D6*'3 EQUIPOS'!G23)+(CAJONES!D6*'3 EQUIPOS'!G23)*PRECIOS!D4</f>
        <v>88.786140322896287</v>
      </c>
      <c r="G25" s="24">
        <f>(CAJONES!D7*'3 EQUIPOS'!G23)+(CAJONES!D7*'3 EQUIPOS'!G23)*PRECIOS!D4</f>
        <v>51.222773263209405</v>
      </c>
      <c r="H25" s="24">
        <f>(CAJONES!D8*'3 EQUIPOS'!G23)+(CAJONES!D8*'3 EQUIPOS'!G23)*PRECIOS!D4</f>
        <v>110.98267540362038</v>
      </c>
      <c r="I25" s="1"/>
      <c r="J25" s="1"/>
    </row>
    <row r="26" spans="1:10" x14ac:dyDescent="0.25">
      <c r="A26" s="1"/>
      <c r="B26" s="6" t="s">
        <v>131</v>
      </c>
      <c r="C26" s="24">
        <f>'3 EQUIPOS'!E26</f>
        <v>13250.845500000001</v>
      </c>
      <c r="D26" s="43">
        <f>C26*D4+C26</f>
        <v>17888.641425000002</v>
      </c>
      <c r="E26" s="44"/>
      <c r="F26" s="24">
        <f>CAJONES!D6*'3 EQUIPOS'!G26+(CAJONES!D6*'3 EQUIPOS'!G26)*PRECIOS!D4</f>
        <v>91.018527798434462</v>
      </c>
      <c r="G26" s="24">
        <f>(CAJONES!D7*'3 EQUIPOS'!G26)+(CAJONES!D7*'3 EQUIPOS'!G26)*PRECIOS!D4</f>
        <v>52.510689114481416</v>
      </c>
      <c r="H26" s="24">
        <f>CAJONES!D8*'3 EQUIPOS'!G26+CAJONES!D8*('3 EQUIPOS'!G26)*PRECIOS!D4</f>
        <v>113.77315974804307</v>
      </c>
      <c r="I26" s="1"/>
      <c r="J26" s="1"/>
    </row>
    <row r="27" spans="1:10" x14ac:dyDescent="0.25">
      <c r="A27" s="1"/>
      <c r="B27" s="6" t="s">
        <v>132</v>
      </c>
      <c r="C27" s="24">
        <f>'3 EQUIPOS'!E58</f>
        <v>20654.18290675</v>
      </c>
      <c r="D27" s="43">
        <f>C27*D4+C27</f>
        <v>27883.146924112501</v>
      </c>
      <c r="E27" s="44"/>
      <c r="F27" s="24">
        <f>(CAJONES!D6*'3 EQUIPOS'!G58)+(CAJONES!D6*'3 EQUIPOS'!G58)*D4</f>
        <v>141.87119765693248</v>
      </c>
      <c r="G27" s="24">
        <f>(CAJONES!D7*'3 EQUIPOS'!G58)+(CAJONES!D7*'3 EQUIPOS'!G58)*PRECIOS!D4</f>
        <v>81.84876787899951</v>
      </c>
      <c r="H27" s="24">
        <f>CAJONES!D8*'3 EQUIPOS'!G58+CAJONES!D8*'3 EQUIPOS'!G58*PRECIOS!D4</f>
        <v>177.33899707116558</v>
      </c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</sheetData>
  <sheetProtection sheet="1" objects="1" scenarios="1"/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CAJONES</vt:lpstr>
      <vt:lpstr>3 EQUIPOS</vt:lpstr>
      <vt:lpstr>MANGO</vt:lpstr>
      <vt:lpstr>VB</vt:lpstr>
      <vt:lpstr>VR</vt:lpstr>
      <vt:lpstr>PRECIOS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</dc:creator>
  <cp:lastModifiedBy>Macarena</cp:lastModifiedBy>
  <cp:lastPrinted>2019-04-05T13:01:47Z</cp:lastPrinted>
  <dcterms:created xsi:type="dcterms:W3CDTF">2019-04-02T14:35:02Z</dcterms:created>
  <dcterms:modified xsi:type="dcterms:W3CDTF">2019-06-19T21:29:32Z</dcterms:modified>
</cp:coreProperties>
</file>