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carena\Documents\Relaciones\zTesis\FINAL\PARA UNIVERSIDAD\ANEXOS\"/>
    </mc:Choice>
  </mc:AlternateContent>
  <bookViews>
    <workbookView xWindow="0" yWindow="0" windowWidth="20490" windowHeight="7755"/>
  </bookViews>
  <sheets>
    <sheet name="CAJONES" sheetId="1" r:id="rId1"/>
    <sheet name="3 EQUIPOS" sheetId="2" r:id="rId2"/>
    <sheet name="MANGO" sheetId="3" r:id="rId3"/>
    <sheet name="VB" sheetId="4" r:id="rId4"/>
    <sheet name="VR" sheetId="5" r:id="rId5"/>
    <sheet name="PRECIOS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6" l="1"/>
  <c r="I17" i="5" l="1"/>
  <c r="I12" i="5"/>
  <c r="E24" i="5" l="1"/>
  <c r="E23" i="5"/>
  <c r="E24" i="4"/>
  <c r="E23" i="4"/>
  <c r="E24" i="3"/>
  <c r="E23" i="3"/>
  <c r="E24" i="2"/>
  <c r="E23" i="2"/>
  <c r="E22" i="5" l="1"/>
  <c r="E44" i="5"/>
  <c r="E43" i="5"/>
  <c r="E41" i="5"/>
  <c r="E40" i="5"/>
  <c r="E39" i="5"/>
  <c r="E34" i="5"/>
  <c r="E33" i="5"/>
  <c r="E32" i="5"/>
  <c r="E31" i="5"/>
  <c r="E30" i="5"/>
  <c r="E16" i="5"/>
  <c r="E15" i="5"/>
  <c r="E14" i="5"/>
  <c r="E12" i="5"/>
  <c r="E11" i="5"/>
  <c r="E10" i="5"/>
  <c r="E9" i="5"/>
  <c r="E4" i="5"/>
  <c r="E22" i="4"/>
  <c r="I18" i="4"/>
  <c r="I13" i="4"/>
  <c r="E44" i="4"/>
  <c r="E43" i="4"/>
  <c r="E41" i="4"/>
  <c r="E40" i="4"/>
  <c r="E39" i="4"/>
  <c r="E34" i="4"/>
  <c r="E33" i="4"/>
  <c r="E32" i="4"/>
  <c r="E31" i="4"/>
  <c r="E30" i="4"/>
  <c r="E16" i="4"/>
  <c r="E15" i="4"/>
  <c r="E14" i="4"/>
  <c r="E12" i="4"/>
  <c r="E11" i="4"/>
  <c r="E10" i="4"/>
  <c r="E9" i="4"/>
  <c r="E4" i="4"/>
  <c r="E32" i="3"/>
  <c r="I18" i="3"/>
  <c r="I13" i="3"/>
  <c r="E44" i="3"/>
  <c r="E43" i="3"/>
  <c r="E41" i="3"/>
  <c r="E40" i="3"/>
  <c r="E39" i="3"/>
  <c r="E34" i="3"/>
  <c r="E33" i="3"/>
  <c r="E31" i="3"/>
  <c r="E30" i="3"/>
  <c r="E22" i="3"/>
  <c r="E16" i="3"/>
  <c r="E15" i="3"/>
  <c r="E14" i="3"/>
  <c r="E12" i="3"/>
  <c r="E11" i="3"/>
  <c r="E10" i="3"/>
  <c r="E9" i="3"/>
  <c r="E4" i="3"/>
  <c r="E39" i="2"/>
  <c r="E34" i="2"/>
  <c r="E33" i="2"/>
  <c r="E32" i="2"/>
  <c r="E6" i="5" l="1"/>
  <c r="E7" i="5" s="1"/>
  <c r="E6" i="4"/>
  <c r="E7" i="4" s="1"/>
  <c r="E6" i="3"/>
  <c r="E7" i="3" s="1"/>
  <c r="C18" i="6" l="1"/>
  <c r="D18" i="6" s="1"/>
  <c r="E18" i="6" s="1"/>
  <c r="E17" i="5"/>
  <c r="E20" i="5" s="1"/>
  <c r="G7" i="5"/>
  <c r="E19" i="5"/>
  <c r="E21" i="5" s="1"/>
  <c r="G7" i="4"/>
  <c r="C12" i="6"/>
  <c r="D12" i="6" s="1"/>
  <c r="E12" i="6" s="1"/>
  <c r="E17" i="4"/>
  <c r="G7" i="3"/>
  <c r="C6" i="6"/>
  <c r="D6" i="6" s="1"/>
  <c r="E6" i="6" s="1"/>
  <c r="E17" i="3"/>
  <c r="E20" i="4" l="1"/>
  <c r="E19" i="4"/>
  <c r="E21" i="4" s="1"/>
  <c r="D13" i="6" s="1"/>
  <c r="E13" i="6" s="1"/>
  <c r="E19" i="3"/>
  <c r="E20" i="3"/>
  <c r="C19" i="6"/>
  <c r="D19" i="6" s="1"/>
  <c r="E19" i="6" s="1"/>
  <c r="G26" i="5"/>
  <c r="E25" i="5"/>
  <c r="E26" i="5" s="1"/>
  <c r="E25" i="4" l="1"/>
  <c r="E26" i="4" s="1"/>
  <c r="G29" i="4" s="1"/>
  <c r="G26" i="4"/>
  <c r="E21" i="3"/>
  <c r="E25" i="3" s="1"/>
  <c r="E26" i="3" s="1"/>
  <c r="C8" i="6" s="1"/>
  <c r="D8" i="6" s="1"/>
  <c r="E8" i="6" s="1"/>
  <c r="C20" i="6"/>
  <c r="D20" i="6" s="1"/>
  <c r="E20" i="6" s="1"/>
  <c r="G29" i="5"/>
  <c r="E29" i="4"/>
  <c r="E27" i="5"/>
  <c r="E36" i="5"/>
  <c r="E37" i="5"/>
  <c r="E29" i="5"/>
  <c r="C14" i="6" l="1"/>
  <c r="D14" i="6" s="1"/>
  <c r="E14" i="6" s="1"/>
  <c r="E45" i="5"/>
  <c r="G45" i="5" s="1"/>
  <c r="E37" i="4"/>
  <c r="E27" i="4"/>
  <c r="E45" i="4" s="1"/>
  <c r="G45" i="4" s="1"/>
  <c r="E36" i="4"/>
  <c r="E36" i="3"/>
  <c r="E27" i="3"/>
  <c r="E29" i="3"/>
  <c r="C7" i="6"/>
  <c r="D7" i="6" s="1"/>
  <c r="E7" i="6" s="1"/>
  <c r="G29" i="3"/>
  <c r="E37" i="3"/>
  <c r="G26" i="3"/>
  <c r="E46" i="5"/>
  <c r="G46" i="5" s="1"/>
  <c r="E31" i="2"/>
  <c r="E30" i="2"/>
  <c r="E43" i="2"/>
  <c r="E44" i="2"/>
  <c r="E40" i="2"/>
  <c r="E22" i="2"/>
  <c r="E11" i="2"/>
  <c r="E10" i="2"/>
  <c r="E9" i="2"/>
  <c r="E41" i="2"/>
  <c r="I18" i="2"/>
  <c r="E16" i="2"/>
  <c r="I13" i="2"/>
  <c r="E15" i="2"/>
  <c r="E14" i="2"/>
  <c r="E12" i="2"/>
  <c r="E4" i="2"/>
  <c r="H8" i="1"/>
  <c r="F8" i="1"/>
  <c r="G8" i="1" s="1"/>
  <c r="H7" i="1"/>
  <c r="F7" i="1"/>
  <c r="G7" i="1" s="1"/>
  <c r="H6" i="1"/>
  <c r="F6" i="1"/>
  <c r="G6" i="1" s="1"/>
  <c r="E46" i="3" l="1"/>
  <c r="E45" i="3"/>
  <c r="G45" i="3" s="1"/>
  <c r="H9" i="1"/>
  <c r="E46" i="4"/>
  <c r="G46" i="4" s="1"/>
  <c r="G46" i="3"/>
  <c r="C9" i="6"/>
  <c r="D9" i="6" s="1"/>
  <c r="E9" i="6" s="1"/>
  <c r="E6" i="2"/>
  <c r="E7" i="2" s="1"/>
  <c r="C21" i="6"/>
  <c r="D21" i="6" s="1"/>
  <c r="E21" i="6" s="1"/>
  <c r="G9" i="1"/>
  <c r="C15" i="6" l="1"/>
  <c r="D15" i="6" s="1"/>
  <c r="E15" i="6" s="1"/>
  <c r="G7" i="2"/>
  <c r="C24" i="6"/>
  <c r="D24" i="6" s="1"/>
  <c r="E17" i="2"/>
  <c r="E20" i="2" s="1"/>
  <c r="E19" i="2" l="1"/>
  <c r="E21" i="2" s="1"/>
  <c r="G26" i="2" s="1"/>
  <c r="H24" i="6"/>
  <c r="G24" i="6"/>
  <c r="F24" i="6"/>
  <c r="C25" i="6"/>
  <c r="D25" i="6" s="1"/>
  <c r="E25" i="2"/>
  <c r="E26" i="2" s="1"/>
  <c r="C26" i="6" l="1"/>
  <c r="D26" i="6" s="1"/>
  <c r="G29" i="2"/>
  <c r="F25" i="6"/>
  <c r="G25" i="6"/>
  <c r="H25" i="6"/>
  <c r="E37" i="2"/>
  <c r="E36" i="2"/>
  <c r="E29" i="2"/>
  <c r="E27" i="2"/>
  <c r="H26" i="6" l="1"/>
  <c r="F26" i="6"/>
  <c r="G26" i="6"/>
  <c r="E46" i="2"/>
  <c r="G46" i="2" s="1"/>
  <c r="H27" i="6" s="1"/>
  <c r="E45" i="2"/>
  <c r="G45" i="2" s="1"/>
  <c r="C27" i="6" l="1"/>
  <c r="D27" i="6" s="1"/>
  <c r="F27" i="6" l="1"/>
  <c r="G27" i="6"/>
</calcChain>
</file>

<file path=xl/sharedStrings.xml><?xml version="1.0" encoding="utf-8"?>
<sst xmlns="http://schemas.openxmlformats.org/spreadsheetml/2006/main" count="435" uniqueCount="133">
  <si>
    <t>PRODUCTO</t>
  </si>
  <si>
    <t>PESO x U (KG)</t>
  </si>
  <si>
    <t>COSTO x U (U$S)</t>
  </si>
  <si>
    <t>CANTIDAD POR CAJÓN</t>
  </si>
  <si>
    <t>PESO NETO (KG)</t>
  </si>
  <si>
    <t>PESO BRUTO (KG)</t>
  </si>
  <si>
    <t>VALOR DECLARADO U$S</t>
  </si>
  <si>
    <t>NCM</t>
  </si>
  <si>
    <t>84.79.9090</t>
  </si>
  <si>
    <t>VÁLVULA DE BLOQUEO 1/2</t>
  </si>
  <si>
    <t>84.81.3000</t>
  </si>
  <si>
    <t>84.81.1000</t>
  </si>
  <si>
    <t>TOTALES</t>
  </si>
  <si>
    <t>50x50x50cm</t>
  </si>
  <si>
    <t>0,125 CBM</t>
  </si>
  <si>
    <t>KG</t>
  </si>
  <si>
    <t xml:space="preserve">3 CAJONES </t>
  </si>
  <si>
    <t>OBSERVACIONES</t>
  </si>
  <si>
    <t>CTO %</t>
  </si>
  <si>
    <t xml:space="preserve">MANGO </t>
  </si>
  <si>
    <t xml:space="preserve"> 84.70.9090</t>
  </si>
  <si>
    <t>Embalaje</t>
  </si>
  <si>
    <t>U$S por cajón</t>
  </si>
  <si>
    <t>VALOR DECLARADO (U$S)</t>
  </si>
  <si>
    <t>CTO EXW</t>
  </si>
  <si>
    <t>100 U x U$S 52</t>
  </si>
  <si>
    <t>PESO BRUTO (TON)</t>
  </si>
  <si>
    <t>GTOS LOCALES ARG</t>
  </si>
  <si>
    <t>VOLUMEN (CBM)</t>
  </si>
  <si>
    <t>BULTOS / ÍTEMS</t>
  </si>
  <si>
    <t>TRAMOS</t>
  </si>
  <si>
    <t>DÍAS</t>
  </si>
  <si>
    <t>U$S 45 + IVA</t>
  </si>
  <si>
    <t>BUE - BOG</t>
  </si>
  <si>
    <t>U$S 100 + IVA</t>
  </si>
  <si>
    <t>CARTAGENA -BOG</t>
  </si>
  <si>
    <t>OTROS GTOS</t>
  </si>
  <si>
    <t>TT</t>
  </si>
  <si>
    <t>Gtos de depósito (Murchinson)</t>
  </si>
  <si>
    <t>U$S 400 + IVA</t>
  </si>
  <si>
    <t>CARGA</t>
  </si>
  <si>
    <t>Vericación</t>
  </si>
  <si>
    <t>U$S 150 + IVA</t>
  </si>
  <si>
    <t>DÍAS A BOGOTÁ</t>
  </si>
  <si>
    <t>Traslado interno hasta depósito</t>
  </si>
  <si>
    <t>U$S 125 + IVA</t>
  </si>
  <si>
    <t>CARTAGENA - NOBSA</t>
  </si>
  <si>
    <t>BASE IMPONIBLE</t>
  </si>
  <si>
    <t>DERECHOS ARG</t>
  </si>
  <si>
    <t>12% O MÁXIMO $3 POR DÓLAR SOBRE BASE FOB+12%</t>
  </si>
  <si>
    <t>DÍAS A NOBSA</t>
  </si>
  <si>
    <t>REINTEGRO EXPO</t>
  </si>
  <si>
    <t>4,5% SOBRE VALOR FOB</t>
  </si>
  <si>
    <t>CTO FOB</t>
  </si>
  <si>
    <t>SEGURO</t>
  </si>
  <si>
    <t>0,55% FOB O MÍNIMO U$S 100</t>
  </si>
  <si>
    <t>CTO CIF</t>
  </si>
  <si>
    <t>HONORARIOS DESPACHANTE ARG</t>
  </si>
  <si>
    <t>1% CIF O MÍNIMO U$S 300</t>
  </si>
  <si>
    <t>GTOS ADUANA COL</t>
  </si>
  <si>
    <t>Clasificación arancelaria</t>
  </si>
  <si>
    <t>DERECHOS COL</t>
  </si>
  <si>
    <t>Aranceles</t>
  </si>
  <si>
    <t>IVA</t>
  </si>
  <si>
    <t>GTOS LOCALES COL</t>
  </si>
  <si>
    <t>FLETES</t>
  </si>
  <si>
    <t>FLETE CARTAGENA - BOG</t>
  </si>
  <si>
    <t>FLETE BOG - NOBSA</t>
  </si>
  <si>
    <t>CTO DDP</t>
  </si>
  <si>
    <t>BOGOTÁ</t>
  </si>
  <si>
    <t>NOBSA</t>
  </si>
  <si>
    <t>Transfer Aeropuerto</t>
  </si>
  <si>
    <t>Handling Charge</t>
  </si>
  <si>
    <t>U$S 70 + IVA</t>
  </si>
  <si>
    <t>Doc Fee</t>
  </si>
  <si>
    <t>U$S 50 + IVA</t>
  </si>
  <si>
    <t>HAWB</t>
  </si>
  <si>
    <t>FLETE BUE - BOG</t>
  </si>
  <si>
    <t xml:space="preserve">U$S 1,65 x CBM/KG </t>
  </si>
  <si>
    <t>ROS - BOG</t>
  </si>
  <si>
    <t>Filing &amp; Release AWB </t>
  </si>
  <si>
    <t>U$S 150</t>
  </si>
  <si>
    <t>U$S 0,15 x CMB/KG MÍNIMO U$S 100</t>
  </si>
  <si>
    <t>Handling</t>
  </si>
  <si>
    <t>U$S 90</t>
  </si>
  <si>
    <t>U$S 430</t>
  </si>
  <si>
    <t>U$S 300</t>
  </si>
  <si>
    <t>Comisión despachante</t>
  </si>
  <si>
    <t>0,30% sobre valor CIF mínimo U$S 112</t>
  </si>
  <si>
    <t>Inspección mercadería</t>
  </si>
  <si>
    <t>U$S 48</t>
  </si>
  <si>
    <t>Documentación</t>
  </si>
  <si>
    <t>U$S 7 por cada declaración de exportación</t>
  </si>
  <si>
    <t>U$S 12 por ítem</t>
  </si>
  <si>
    <t>Gastos administrativos</t>
  </si>
  <si>
    <t xml:space="preserve">U$S 48 </t>
  </si>
  <si>
    <t>Elaboración sistema VUCE</t>
  </si>
  <si>
    <t xml:space="preserve">15% sobre valor CIF </t>
  </si>
  <si>
    <t>19% sobre valor CIF</t>
  </si>
  <si>
    <t>ENVÍO AÉREO</t>
  </si>
  <si>
    <t>VÁLVULA DE BLOQUEO</t>
  </si>
  <si>
    <t>MANGO</t>
  </si>
  <si>
    <t>VÁLVULA RG1000</t>
  </si>
  <si>
    <t>GANANCIA</t>
  </si>
  <si>
    <t>COSTO</t>
  </si>
  <si>
    <t>PRECIO</t>
  </si>
  <si>
    <t>PRECIO U</t>
  </si>
  <si>
    <t>EXW</t>
  </si>
  <si>
    <t>FOB</t>
  </si>
  <si>
    <t>CIF</t>
  </si>
  <si>
    <t>DDP</t>
  </si>
  <si>
    <t>LOS 3 PRODUCTOS</t>
  </si>
  <si>
    <t>V B</t>
  </si>
  <si>
    <t>MZ</t>
  </si>
  <si>
    <t>UA</t>
  </si>
  <si>
    <t>U$S 30</t>
  </si>
  <si>
    <t>U$S 25</t>
  </si>
  <si>
    <t>Transffer aeropuerto a destino</t>
  </si>
  <si>
    <t>BOG - NOBSA</t>
  </si>
  <si>
    <t>GASTOS FINANCIEROS</t>
  </si>
  <si>
    <t>Gtos bancarios por transferencia</t>
  </si>
  <si>
    <t>0,2% o minimo U$S 40 + U$S 6 formulario</t>
  </si>
  <si>
    <t>CARACTERÍSTICAS Y COMPOSICIÓN DE LOS CAJONES A EXPORTAR</t>
  </si>
  <si>
    <t>COSTO ENVÍO DE LOS TRES CAJONES JUNTOS</t>
  </si>
  <si>
    <t>COSTO ENVÍO DE UN CAJÓN CON MANGOS</t>
  </si>
  <si>
    <t>COSTO ENVÍO DE UN CAJÓN CON VÁLVULAS DE BLOQUEO</t>
  </si>
  <si>
    <t>CÁLCULO DE PRECIOS FINALES POR PRODUCTOS - ENVÍO AÉREO</t>
  </si>
  <si>
    <t>LOS TRES PRODUCTOS</t>
  </si>
  <si>
    <t xml:space="preserve">CAJÓN </t>
  </si>
  <si>
    <t xml:space="preserve">VÁLVULA </t>
  </si>
  <si>
    <t>REGULADOR</t>
  </si>
  <si>
    <t>COSTO ENVÍO DE UN CAJÓN CON REGULADORES</t>
  </si>
  <si>
    <t>V 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</si>
</sst>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EF4DA"/>
        <bgColor indexed="64"/>
      </patternFill>
    </fill>
    <fill>
      <patternFill patternType="solid">
        <fgColor rgb="FFFBE19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ill="1"/>
    <xf numFmtId="0" fontId="0" fillId="0" borderId="3" xfId="0" applyFill="1" applyBorder="1"/>
    <xf numFmtId="9" fontId="0" fillId="0" borderId="0" xfId="0" applyNumberFormat="1"/>
    <xf numFmtId="0" fontId="0" fillId="0" borderId="0" xfId="0" applyFill="1" applyBorder="1"/>
    <xf numFmtId="0" fontId="0" fillId="2" borderId="1" xfId="0" applyFill="1" applyBorder="1"/>
    <xf numFmtId="0" fontId="0" fillId="3" borderId="0" xfId="0" applyFill="1"/>
    <xf numFmtId="0" fontId="0" fillId="2" borderId="1" xfId="0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0" fillId="4" borderId="1" xfId="0" applyFill="1" applyBorder="1"/>
    <xf numFmtId="9" fontId="0" fillId="2" borderId="1" xfId="0" applyNumberFormat="1" applyFill="1" applyBorder="1"/>
    <xf numFmtId="2" fontId="0" fillId="0" borderId="0" xfId="0" applyNumberFormat="1" applyFill="1" applyBorder="1"/>
    <xf numFmtId="9" fontId="0" fillId="0" borderId="0" xfId="0" applyNumberFormat="1" applyFill="1" applyBorder="1"/>
    <xf numFmtId="0" fontId="1" fillId="0" borderId="0" xfId="0" applyFont="1" applyFill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2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right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right"/>
    </xf>
    <xf numFmtId="0" fontId="0" fillId="0" borderId="3" xfId="0" applyFill="1" applyBorder="1" applyAlignment="1">
      <alignment horizontal="left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/>
    <xf numFmtId="0" fontId="0" fillId="0" borderId="5" xfId="0" applyFill="1" applyBorder="1"/>
    <xf numFmtId="0" fontId="0" fillId="5" borderId="5" xfId="0" applyFill="1" applyBorder="1"/>
    <xf numFmtId="0" fontId="0" fillId="5" borderId="4" xfId="0" applyFill="1" applyBorder="1"/>
    <xf numFmtId="0" fontId="0" fillId="0" borderId="0" xfId="0" applyFont="1" applyFill="1"/>
    <xf numFmtId="2" fontId="0" fillId="0" borderId="1" xfId="0" applyNumberFormat="1" applyFill="1" applyBorder="1"/>
    <xf numFmtId="9" fontId="0" fillId="0" borderId="1" xfId="0" applyNumberFormat="1" applyFill="1" applyBorder="1"/>
    <xf numFmtId="10" fontId="0" fillId="0" borderId="1" xfId="0" applyNumberFormat="1" applyFill="1" applyBorder="1"/>
    <xf numFmtId="0" fontId="0" fillId="0" borderId="4" xfId="0" applyFill="1" applyBorder="1"/>
    <xf numFmtId="0" fontId="0" fillId="0" borderId="3" xfId="0" applyFill="1" applyBorder="1" applyAlignment="1">
      <alignment horizontal="center"/>
    </xf>
    <xf numFmtId="2" fontId="0" fillId="0" borderId="0" xfId="0" applyNumberFormat="1" applyFill="1"/>
    <xf numFmtId="0" fontId="0" fillId="0" borderId="0" xfId="0" applyNumberFormat="1" applyFill="1"/>
    <xf numFmtId="0" fontId="0" fillId="0" borderId="1" xfId="0" applyNumberFormat="1" applyFill="1" applyBorder="1"/>
    <xf numFmtId="2" fontId="0" fillId="0" borderId="4" xfId="0" applyNumberFormat="1" applyFill="1" applyBorder="1"/>
    <xf numFmtId="9" fontId="0" fillId="0" borderId="0" xfId="0" applyNumberFormat="1" applyFill="1"/>
    <xf numFmtId="2" fontId="0" fillId="0" borderId="6" xfId="0" applyNumberFormat="1" applyFill="1" applyBorder="1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Fill="1" applyBorder="1"/>
    <xf numFmtId="0" fontId="0" fillId="0" borderId="7" xfId="0" applyFill="1" applyBorder="1"/>
    <xf numFmtId="2" fontId="0" fillId="0" borderId="2" xfId="0" applyNumberFormat="1" applyFill="1" applyBorder="1"/>
    <xf numFmtId="0" fontId="0" fillId="0" borderId="8" xfId="0" applyFill="1" applyBorder="1"/>
    <xf numFmtId="0" fontId="1" fillId="4" borderId="1" xfId="0" applyFont="1" applyFill="1" applyBorder="1"/>
    <xf numFmtId="9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EF4DA"/>
      <color rgb="FFFBE1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B9" sqref="B9"/>
    </sheetView>
  </sheetViews>
  <sheetFormatPr baseColWidth="10" defaultRowHeight="15" x14ac:dyDescent="0.25"/>
  <cols>
    <col min="1" max="1" width="2.7109375" customWidth="1"/>
    <col min="2" max="2" width="40" bestFit="1" customWidth="1"/>
    <col min="3" max="3" width="12.7109375" bestFit="1" customWidth="1"/>
    <col min="4" max="4" width="15.140625" customWidth="1"/>
    <col min="5" max="5" width="18.140625" customWidth="1"/>
    <col min="6" max="6" width="15.140625" bestFit="1" customWidth="1"/>
    <col min="7" max="7" width="16.42578125" bestFit="1" customWidth="1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3" t="s">
        <v>122</v>
      </c>
      <c r="C3" s="1"/>
      <c r="D3" s="1"/>
      <c r="E3" s="1"/>
      <c r="F3" s="1"/>
      <c r="G3" s="1"/>
      <c r="H3" s="1"/>
      <c r="I3" s="1"/>
      <c r="J3" s="1"/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45" x14ac:dyDescent="0.25">
      <c r="A5" s="1"/>
      <c r="B5" s="21" t="s">
        <v>0</v>
      </c>
      <c r="C5" s="22" t="s">
        <v>1</v>
      </c>
      <c r="D5" s="22" t="s">
        <v>2</v>
      </c>
      <c r="E5" s="22" t="s">
        <v>3</v>
      </c>
      <c r="F5" s="22" t="s">
        <v>4</v>
      </c>
      <c r="G5" s="22" t="s">
        <v>5</v>
      </c>
      <c r="H5" s="22" t="s">
        <v>6</v>
      </c>
      <c r="I5" s="22" t="s">
        <v>7</v>
      </c>
      <c r="J5" s="1"/>
    </row>
    <row r="6" spans="1:10" x14ac:dyDescent="0.25">
      <c r="A6" s="1"/>
      <c r="B6" s="9" t="s">
        <v>19</v>
      </c>
      <c r="C6" s="14">
        <v>1.66</v>
      </c>
      <c r="D6" s="16">
        <v>52</v>
      </c>
      <c r="E6" s="14">
        <v>100</v>
      </c>
      <c r="F6" s="14">
        <f>E6*C6</f>
        <v>166</v>
      </c>
      <c r="G6" s="14">
        <f>F6+E11</f>
        <v>181</v>
      </c>
      <c r="H6" s="14">
        <f>PRODUCT(E6,D6)</f>
        <v>5200</v>
      </c>
      <c r="I6" s="17" t="s">
        <v>8</v>
      </c>
      <c r="J6" s="1"/>
    </row>
    <row r="7" spans="1:10" x14ac:dyDescent="0.25">
      <c r="A7" s="1"/>
      <c r="B7" s="9" t="s">
        <v>129</v>
      </c>
      <c r="C7" s="14">
        <v>1.4</v>
      </c>
      <c r="D7" s="16">
        <v>30</v>
      </c>
      <c r="E7" s="14">
        <v>85</v>
      </c>
      <c r="F7" s="14">
        <f>E7*C7</f>
        <v>118.99999999999999</v>
      </c>
      <c r="G7" s="14">
        <f>F7+E11</f>
        <v>134</v>
      </c>
      <c r="H7" s="14">
        <f t="shared" ref="H7:H8" si="0">PRODUCT(E7,D7)</f>
        <v>2550</v>
      </c>
      <c r="I7" s="17" t="s">
        <v>10</v>
      </c>
      <c r="J7" s="1"/>
    </row>
    <row r="8" spans="1:10" x14ac:dyDescent="0.25">
      <c r="A8" s="1"/>
      <c r="B8" s="9" t="s">
        <v>130</v>
      </c>
      <c r="C8" s="14">
        <v>2.4</v>
      </c>
      <c r="D8" s="16">
        <v>65</v>
      </c>
      <c r="E8" s="14">
        <v>38</v>
      </c>
      <c r="F8" s="14">
        <f>E8*C8</f>
        <v>91.2</v>
      </c>
      <c r="G8" s="14">
        <f>F8+E11</f>
        <v>106.2</v>
      </c>
      <c r="H8" s="14">
        <f t="shared" si="0"/>
        <v>2470</v>
      </c>
      <c r="I8" s="17" t="s">
        <v>11</v>
      </c>
      <c r="J8" s="1"/>
    </row>
    <row r="9" spans="1:10" x14ac:dyDescent="0.25">
      <c r="A9" s="1"/>
      <c r="B9" s="1"/>
      <c r="C9" s="1"/>
      <c r="D9" s="1"/>
      <c r="E9" s="1"/>
      <c r="F9" s="15" t="s">
        <v>12</v>
      </c>
      <c r="G9" s="18">
        <f>SUM(G6:G8)</f>
        <v>421.2</v>
      </c>
      <c r="H9" s="18">
        <f>SUM(H6:H8)</f>
        <v>10220</v>
      </c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23" t="s">
        <v>128</v>
      </c>
      <c r="C11" s="17" t="s">
        <v>13</v>
      </c>
      <c r="D11" s="19" t="s">
        <v>14</v>
      </c>
      <c r="E11" s="19">
        <v>15</v>
      </c>
      <c r="F11" s="20" t="s">
        <v>15</v>
      </c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</sheetData>
  <sheetProtection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workbookViewId="0">
      <selection activeCell="C1" sqref="C1"/>
    </sheetView>
  </sheetViews>
  <sheetFormatPr baseColWidth="10" defaultRowHeight="15" x14ac:dyDescent="0.25"/>
  <cols>
    <col min="1" max="1" width="1.7109375" customWidth="1"/>
    <col min="2" max="2" width="33" customWidth="1"/>
    <col min="6" max="6" width="48.85546875" customWidth="1"/>
    <col min="8" max="8" width="27.42578125" customWidth="1"/>
  </cols>
  <sheetData>
    <row r="1" spans="1:11" x14ac:dyDescent="0.25">
      <c r="A1" s="1"/>
      <c r="B1" s="13" t="s">
        <v>123</v>
      </c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3" t="s">
        <v>99</v>
      </c>
      <c r="C2" s="27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7" t="s">
        <v>16</v>
      </c>
      <c r="C3" s="7"/>
      <c r="D3" s="7"/>
      <c r="E3" s="8"/>
      <c r="F3" s="7" t="s">
        <v>17</v>
      </c>
      <c r="G3" s="39" t="s">
        <v>18</v>
      </c>
      <c r="H3" s="39" t="s">
        <v>127</v>
      </c>
      <c r="I3" s="40"/>
      <c r="J3" s="1"/>
      <c r="K3" s="1"/>
    </row>
    <row r="4" spans="1:11" x14ac:dyDescent="0.25">
      <c r="A4" s="1"/>
      <c r="B4" s="9" t="s">
        <v>21</v>
      </c>
      <c r="C4" s="15">
        <v>15</v>
      </c>
      <c r="D4" s="15"/>
      <c r="E4" s="28">
        <f>PRODUCT(C4,I7)</f>
        <v>45</v>
      </c>
      <c r="F4" s="15" t="s">
        <v>22</v>
      </c>
      <c r="G4" s="1"/>
      <c r="H4" s="25" t="s">
        <v>23</v>
      </c>
      <c r="I4" s="24">
        <v>10220</v>
      </c>
      <c r="J4" s="29">
        <v>1</v>
      </c>
      <c r="K4" s="1"/>
    </row>
    <row r="5" spans="1:11" x14ac:dyDescent="0.25">
      <c r="A5" s="1"/>
      <c r="B5" s="23" t="s">
        <v>119</v>
      </c>
      <c r="C5" s="15"/>
      <c r="D5" s="15"/>
      <c r="E5" s="28"/>
      <c r="F5" s="15"/>
      <c r="G5" s="1"/>
      <c r="H5" s="23" t="s">
        <v>5</v>
      </c>
      <c r="I5" s="15">
        <v>421.2</v>
      </c>
      <c r="J5" s="1"/>
      <c r="K5" s="1"/>
    </row>
    <row r="6" spans="1:11" x14ac:dyDescent="0.25">
      <c r="A6" s="1"/>
      <c r="B6" s="9" t="s">
        <v>120</v>
      </c>
      <c r="C6" s="30">
        <v>2E-3</v>
      </c>
      <c r="D6" s="15"/>
      <c r="E6" s="28">
        <f>MAX((I4+E4)*C6,40)+6</f>
        <v>46</v>
      </c>
      <c r="F6" s="15" t="s">
        <v>121</v>
      </c>
      <c r="G6" s="1"/>
      <c r="H6" s="23" t="s">
        <v>28</v>
      </c>
      <c r="I6" s="15">
        <v>0.38</v>
      </c>
      <c r="J6" s="15">
        <v>1</v>
      </c>
      <c r="K6" s="1"/>
    </row>
    <row r="7" spans="1:11" x14ac:dyDescent="0.25">
      <c r="A7" s="1"/>
      <c r="B7" s="9"/>
      <c r="C7" s="15"/>
      <c r="D7" s="5" t="s">
        <v>24</v>
      </c>
      <c r="E7" s="28">
        <f>I4+E4+E6</f>
        <v>10311</v>
      </c>
      <c r="F7" s="15" t="s">
        <v>25</v>
      </c>
      <c r="G7" s="10">
        <f>E7*J4/I4</f>
        <v>1.0089041095890412</v>
      </c>
      <c r="H7" s="23" t="s">
        <v>29</v>
      </c>
      <c r="I7" s="15">
        <v>3</v>
      </c>
      <c r="J7" s="1"/>
      <c r="K7" s="1"/>
    </row>
    <row r="8" spans="1:11" x14ac:dyDescent="0.25">
      <c r="A8" s="1"/>
      <c r="B8" s="23" t="s">
        <v>27</v>
      </c>
      <c r="C8" s="15"/>
      <c r="D8" s="15"/>
      <c r="E8" s="28"/>
      <c r="F8" s="15"/>
      <c r="G8" s="1"/>
      <c r="H8" s="1"/>
      <c r="I8" s="1"/>
      <c r="J8" s="1"/>
      <c r="K8" s="1"/>
    </row>
    <row r="9" spans="1:11" x14ac:dyDescent="0.25">
      <c r="A9" s="1"/>
      <c r="B9" s="9" t="s">
        <v>71</v>
      </c>
      <c r="C9" s="15"/>
      <c r="D9" s="15"/>
      <c r="E9" s="28">
        <f>SUM(100+100*21%)</f>
        <v>121</v>
      </c>
      <c r="F9" s="15" t="s">
        <v>34</v>
      </c>
      <c r="G9" s="1"/>
      <c r="H9" s="23" t="s">
        <v>30</v>
      </c>
      <c r="I9" s="18" t="s">
        <v>31</v>
      </c>
      <c r="J9" s="1"/>
      <c r="K9" s="1"/>
    </row>
    <row r="10" spans="1:11" x14ac:dyDescent="0.25">
      <c r="A10" s="1"/>
      <c r="B10" s="9" t="s">
        <v>72</v>
      </c>
      <c r="C10" s="15"/>
      <c r="D10" s="15"/>
      <c r="E10" s="28">
        <f>SUM(70+70*21%)</f>
        <v>84.7</v>
      </c>
      <c r="F10" s="15" t="s">
        <v>73</v>
      </c>
      <c r="G10" s="1"/>
      <c r="H10" s="23" t="s">
        <v>79</v>
      </c>
      <c r="I10" s="18">
        <v>5</v>
      </c>
      <c r="J10" s="1"/>
      <c r="K10" s="1"/>
    </row>
    <row r="11" spans="1:11" x14ac:dyDescent="0.25">
      <c r="A11" s="1"/>
      <c r="B11" s="9" t="s">
        <v>74</v>
      </c>
      <c r="C11" s="15"/>
      <c r="D11" s="15"/>
      <c r="E11" s="28">
        <f>50+(50*21%)</f>
        <v>60.5</v>
      </c>
      <c r="F11" s="15" t="s">
        <v>75</v>
      </c>
      <c r="G11" s="1"/>
      <c r="H11" s="23" t="s">
        <v>37</v>
      </c>
      <c r="I11" s="18">
        <v>2</v>
      </c>
      <c r="J11" s="1"/>
      <c r="K11" s="1"/>
    </row>
    <row r="12" spans="1:11" x14ac:dyDescent="0.25">
      <c r="A12" s="1"/>
      <c r="B12" s="9" t="s">
        <v>76</v>
      </c>
      <c r="C12" s="15"/>
      <c r="D12" s="15"/>
      <c r="E12" s="28">
        <f>45+(45*21%)</f>
        <v>54.45</v>
      </c>
      <c r="F12" s="15" t="s">
        <v>32</v>
      </c>
      <c r="G12" s="1"/>
      <c r="H12" s="23" t="s">
        <v>40</v>
      </c>
      <c r="I12" s="18">
        <v>5</v>
      </c>
      <c r="J12" s="1"/>
      <c r="K12" s="1"/>
    </row>
    <row r="13" spans="1:11" x14ac:dyDescent="0.25">
      <c r="A13" s="1"/>
      <c r="B13" s="9" t="s">
        <v>36</v>
      </c>
      <c r="C13" s="15"/>
      <c r="D13" s="15"/>
      <c r="E13" s="28"/>
      <c r="F13" s="15"/>
      <c r="G13" s="1"/>
      <c r="H13" s="26" t="s">
        <v>43</v>
      </c>
      <c r="I13" s="18">
        <f>SUM(I10:I12)</f>
        <v>12</v>
      </c>
      <c r="J13" s="1"/>
      <c r="K13" s="1"/>
    </row>
    <row r="14" spans="1:11" x14ac:dyDescent="0.25">
      <c r="A14" s="1"/>
      <c r="B14" s="9" t="s">
        <v>38</v>
      </c>
      <c r="C14" s="15"/>
      <c r="D14" s="15"/>
      <c r="E14" s="28">
        <f>400+400*21%</f>
        <v>484</v>
      </c>
      <c r="F14" s="15" t="s">
        <v>39</v>
      </c>
      <c r="G14" s="1"/>
      <c r="H14" s="2"/>
      <c r="I14" s="32"/>
      <c r="J14" s="1"/>
      <c r="K14" s="1"/>
    </row>
    <row r="15" spans="1:11" x14ac:dyDescent="0.25">
      <c r="A15" s="1"/>
      <c r="B15" s="9" t="s">
        <v>41</v>
      </c>
      <c r="C15" s="15"/>
      <c r="D15" s="15"/>
      <c r="E15" s="28">
        <f>150+150*21%</f>
        <v>181.5</v>
      </c>
      <c r="F15" s="15" t="s">
        <v>42</v>
      </c>
      <c r="G15" s="1"/>
      <c r="H15" s="25" t="s">
        <v>46</v>
      </c>
      <c r="I15" s="18">
        <v>2</v>
      </c>
      <c r="J15" s="1"/>
      <c r="K15" s="1"/>
    </row>
    <row r="16" spans="1:11" x14ac:dyDescent="0.25">
      <c r="A16" s="1"/>
      <c r="B16" s="9" t="s">
        <v>44</v>
      </c>
      <c r="C16" s="15"/>
      <c r="D16" s="15"/>
      <c r="E16" s="28">
        <f>125+125*21%</f>
        <v>151.25</v>
      </c>
      <c r="F16" s="15" t="s">
        <v>45</v>
      </c>
      <c r="G16" s="1"/>
      <c r="H16" s="23" t="s">
        <v>37</v>
      </c>
      <c r="I16" s="18">
        <v>2</v>
      </c>
      <c r="J16" s="1"/>
      <c r="K16" s="1"/>
    </row>
    <row r="17" spans="1:11" x14ac:dyDescent="0.25">
      <c r="A17" s="1"/>
      <c r="B17" s="9"/>
      <c r="C17" s="15"/>
      <c r="D17" s="5" t="s">
        <v>47</v>
      </c>
      <c r="E17" s="28">
        <f>SUM(E7:E16)</f>
        <v>11448.400000000001</v>
      </c>
      <c r="F17" s="15"/>
      <c r="G17" s="1"/>
      <c r="H17" s="23" t="s">
        <v>40</v>
      </c>
      <c r="I17" s="18">
        <v>5</v>
      </c>
      <c r="J17" s="1"/>
      <c r="K17" s="1"/>
    </row>
    <row r="18" spans="1:11" x14ac:dyDescent="0.25">
      <c r="A18" s="1"/>
      <c r="B18" s="23" t="s">
        <v>48</v>
      </c>
      <c r="C18" s="15"/>
      <c r="D18" s="15"/>
      <c r="E18" s="28"/>
      <c r="F18" s="15"/>
      <c r="G18" s="1"/>
      <c r="H18" s="23" t="s">
        <v>50</v>
      </c>
      <c r="I18" s="18">
        <f>SUM(I10,I15:I17)</f>
        <v>14</v>
      </c>
      <c r="J18" s="1"/>
      <c r="K18" s="1"/>
    </row>
    <row r="19" spans="1:11" x14ac:dyDescent="0.25">
      <c r="A19" s="1"/>
      <c r="B19" s="9" t="s">
        <v>7</v>
      </c>
      <c r="C19" s="29">
        <v>0.12</v>
      </c>
      <c r="D19" s="15"/>
      <c r="E19" s="28">
        <f>MIN((I4*C19),(((E17+I4*12%)*3))/45)</f>
        <v>844.98666666666668</v>
      </c>
      <c r="F19" s="15" t="s">
        <v>49</v>
      </c>
      <c r="G19" s="1"/>
      <c r="H19" s="1"/>
      <c r="I19" s="1"/>
      <c r="J19" s="1"/>
      <c r="K19" s="1"/>
    </row>
    <row r="20" spans="1:11" x14ac:dyDescent="0.25">
      <c r="A20" s="1"/>
      <c r="B20" s="9" t="s">
        <v>51</v>
      </c>
      <c r="C20" s="30">
        <v>4.4999999999999998E-2</v>
      </c>
      <c r="D20" s="15"/>
      <c r="E20" s="28">
        <f>E17*C20</f>
        <v>515.178</v>
      </c>
      <c r="F20" s="15" t="s">
        <v>52</v>
      </c>
      <c r="G20" s="4"/>
      <c r="H20" s="4"/>
      <c r="I20" s="11"/>
      <c r="J20" s="1"/>
      <c r="K20" s="1"/>
    </row>
    <row r="21" spans="1:11" x14ac:dyDescent="0.25">
      <c r="A21" s="1"/>
      <c r="B21" s="9"/>
      <c r="C21" s="29"/>
      <c r="D21" s="5" t="s">
        <v>53</v>
      </c>
      <c r="E21" s="28">
        <f>SUM(E17:E20)</f>
        <v>12808.564666666669</v>
      </c>
      <c r="F21" s="15"/>
      <c r="G21" s="4"/>
      <c r="H21" s="4"/>
      <c r="I21" s="12"/>
      <c r="J21" s="1"/>
      <c r="K21" s="1"/>
    </row>
    <row r="22" spans="1:11" x14ac:dyDescent="0.25">
      <c r="A22" s="1"/>
      <c r="B22" s="9" t="s">
        <v>77</v>
      </c>
      <c r="C22" s="15">
        <v>1.65</v>
      </c>
      <c r="D22" s="15"/>
      <c r="E22" s="28">
        <f>(C22*I5)</f>
        <v>694.9799999999999</v>
      </c>
      <c r="F22" s="15" t="s">
        <v>78</v>
      </c>
      <c r="G22" s="4"/>
      <c r="H22" s="4"/>
      <c r="I22" s="11"/>
      <c r="J22" s="1"/>
      <c r="K22" s="1"/>
    </row>
    <row r="23" spans="1:11" x14ac:dyDescent="0.25">
      <c r="A23" s="1"/>
      <c r="B23" s="9" t="s">
        <v>113</v>
      </c>
      <c r="C23" s="15">
        <v>30</v>
      </c>
      <c r="D23" s="15"/>
      <c r="E23" s="28">
        <f>C23</f>
        <v>30</v>
      </c>
      <c r="F23" s="15" t="s">
        <v>115</v>
      </c>
      <c r="G23" s="4"/>
      <c r="H23" s="4"/>
      <c r="I23" s="4"/>
      <c r="J23" s="1"/>
      <c r="K23" s="1"/>
    </row>
    <row r="24" spans="1:11" x14ac:dyDescent="0.25">
      <c r="A24" s="1"/>
      <c r="B24" s="9" t="s">
        <v>114</v>
      </c>
      <c r="C24" s="15">
        <v>25</v>
      </c>
      <c r="D24" s="15"/>
      <c r="E24" s="28">
        <f>C24</f>
        <v>25</v>
      </c>
      <c r="F24" s="15" t="s">
        <v>116</v>
      </c>
      <c r="G24" s="1"/>
      <c r="H24" s="33"/>
      <c r="I24" s="1"/>
      <c r="J24" s="1"/>
      <c r="K24" s="1"/>
    </row>
    <row r="25" spans="1:11" x14ac:dyDescent="0.25">
      <c r="A25" s="1"/>
      <c r="B25" s="9" t="s">
        <v>54</v>
      </c>
      <c r="C25" s="30">
        <v>5.4999999999999997E-3</v>
      </c>
      <c r="D25" s="15"/>
      <c r="E25" s="28">
        <f>MAX((C25*E21),100)</f>
        <v>100</v>
      </c>
      <c r="F25" s="15" t="s">
        <v>55</v>
      </c>
      <c r="G25" s="1"/>
      <c r="H25" s="1"/>
      <c r="I25" s="1"/>
      <c r="J25" s="1"/>
      <c r="K25" s="1"/>
    </row>
    <row r="26" spans="1:11" x14ac:dyDescent="0.25">
      <c r="A26" s="1"/>
      <c r="B26" s="9"/>
      <c r="C26" s="15"/>
      <c r="D26" s="5" t="s">
        <v>56</v>
      </c>
      <c r="E26" s="28">
        <f>SUM(E21:E25)</f>
        <v>13658.544666666668</v>
      </c>
      <c r="F26" s="15"/>
      <c r="G26" s="10">
        <f>(E21*J4)/I4</f>
        <v>1.2532842139595566</v>
      </c>
      <c r="H26" s="34"/>
      <c r="I26" s="1"/>
      <c r="J26" s="1"/>
      <c r="K26" s="1"/>
    </row>
    <row r="27" spans="1:11" x14ac:dyDescent="0.25">
      <c r="A27" s="1"/>
      <c r="B27" s="9" t="s">
        <v>57</v>
      </c>
      <c r="C27" s="29">
        <v>0.01</v>
      </c>
      <c r="D27" s="15"/>
      <c r="E27" s="28">
        <f>MAX((C27*E26),300)</f>
        <v>300</v>
      </c>
      <c r="F27" s="15" t="s">
        <v>58</v>
      </c>
      <c r="G27" s="1"/>
      <c r="H27" s="1"/>
      <c r="I27" s="1"/>
      <c r="J27" s="1"/>
      <c r="K27" s="1"/>
    </row>
    <row r="28" spans="1:11" x14ac:dyDescent="0.25">
      <c r="A28" s="1"/>
      <c r="B28" s="23" t="s">
        <v>59</v>
      </c>
      <c r="C28" s="15"/>
      <c r="D28" s="15"/>
      <c r="E28" s="28"/>
      <c r="F28" s="15"/>
      <c r="G28" s="1"/>
      <c r="H28" s="1"/>
      <c r="I28" s="1"/>
      <c r="J28" s="1"/>
      <c r="K28" s="1"/>
    </row>
    <row r="29" spans="1:11" x14ac:dyDescent="0.25">
      <c r="A29" s="1"/>
      <c r="B29" s="9" t="s">
        <v>87</v>
      </c>
      <c r="C29" s="30">
        <v>3.0000000000000001E-3</v>
      </c>
      <c r="D29" s="15"/>
      <c r="E29" s="28">
        <f>MAX((C29*E26),112)</f>
        <v>112</v>
      </c>
      <c r="F29" s="15" t="s">
        <v>88</v>
      </c>
      <c r="G29" s="10">
        <f>(J4*E26)/I4</f>
        <v>1.3364525114155252</v>
      </c>
      <c r="H29" s="1"/>
      <c r="I29" s="1"/>
      <c r="J29" s="1"/>
      <c r="K29" s="1"/>
    </row>
    <row r="30" spans="1:11" x14ac:dyDescent="0.25">
      <c r="A30" s="1"/>
      <c r="B30" s="9" t="s">
        <v>89</v>
      </c>
      <c r="C30" s="15">
        <v>48</v>
      </c>
      <c r="D30" s="15"/>
      <c r="E30" s="28">
        <f>C30</f>
        <v>48</v>
      </c>
      <c r="F30" s="15" t="s">
        <v>90</v>
      </c>
      <c r="G30" s="1"/>
      <c r="H30" s="1"/>
      <c r="I30" s="1"/>
      <c r="J30" s="1"/>
      <c r="K30" s="1"/>
    </row>
    <row r="31" spans="1:11" x14ac:dyDescent="0.25">
      <c r="A31" s="1"/>
      <c r="B31" s="9" t="s">
        <v>91</v>
      </c>
      <c r="C31" s="35">
        <v>7</v>
      </c>
      <c r="D31" s="35"/>
      <c r="E31" s="28">
        <f>C31</f>
        <v>7</v>
      </c>
      <c r="F31" s="15" t="s">
        <v>92</v>
      </c>
      <c r="G31" s="1"/>
      <c r="H31" s="1"/>
      <c r="I31" s="1"/>
      <c r="J31" s="1"/>
      <c r="K31" s="1"/>
    </row>
    <row r="32" spans="1:11" x14ac:dyDescent="0.25">
      <c r="A32" s="1"/>
      <c r="B32" s="9" t="s">
        <v>60</v>
      </c>
      <c r="C32" s="35">
        <v>12</v>
      </c>
      <c r="D32" s="15"/>
      <c r="E32" s="28">
        <f>C32*I7</f>
        <v>36</v>
      </c>
      <c r="F32" s="15" t="s">
        <v>93</v>
      </c>
      <c r="G32" s="1"/>
      <c r="H32" s="1"/>
      <c r="I32" s="1"/>
      <c r="J32" s="1"/>
      <c r="K32" s="1"/>
    </row>
    <row r="33" spans="1:12" x14ac:dyDescent="0.25">
      <c r="A33" s="1"/>
      <c r="B33" s="9" t="s">
        <v>94</v>
      </c>
      <c r="C33" s="35">
        <v>48</v>
      </c>
      <c r="D33" s="15"/>
      <c r="E33" s="28">
        <f>C33</f>
        <v>48</v>
      </c>
      <c r="F33" s="15" t="s">
        <v>95</v>
      </c>
      <c r="G33" s="1"/>
      <c r="H33" s="1"/>
      <c r="I33" s="1"/>
      <c r="J33" s="1"/>
      <c r="K33" s="1"/>
    </row>
    <row r="34" spans="1:12" x14ac:dyDescent="0.25">
      <c r="A34" s="1"/>
      <c r="B34" s="9" t="s">
        <v>96</v>
      </c>
      <c r="C34" s="35">
        <v>48</v>
      </c>
      <c r="D34" s="35"/>
      <c r="E34" s="28">
        <f>C34</f>
        <v>48</v>
      </c>
      <c r="F34" s="15" t="s">
        <v>90</v>
      </c>
      <c r="G34" s="1"/>
      <c r="H34" s="1"/>
      <c r="I34" s="1"/>
      <c r="J34" s="1"/>
      <c r="K34" s="1"/>
    </row>
    <row r="35" spans="1:12" x14ac:dyDescent="0.25">
      <c r="A35" s="1"/>
      <c r="B35" s="23" t="s">
        <v>61</v>
      </c>
      <c r="C35" s="35"/>
      <c r="D35" s="35"/>
      <c r="E35" s="28"/>
      <c r="F35" s="15"/>
      <c r="G35" s="1"/>
      <c r="H35" s="1"/>
      <c r="I35" s="1"/>
      <c r="J35" s="1"/>
      <c r="K35" s="1"/>
    </row>
    <row r="36" spans="1:12" x14ac:dyDescent="0.25">
      <c r="A36" s="1"/>
      <c r="B36" s="9" t="s">
        <v>62</v>
      </c>
      <c r="C36" s="29">
        <v>0.15</v>
      </c>
      <c r="D36" s="35"/>
      <c r="E36" s="28">
        <f>C36*E26</f>
        <v>2048.7817</v>
      </c>
      <c r="F36" s="15" t="s">
        <v>97</v>
      </c>
      <c r="G36" s="1"/>
      <c r="H36" s="1"/>
      <c r="I36" s="1"/>
      <c r="J36" s="1"/>
      <c r="K36" s="1"/>
    </row>
    <row r="37" spans="1:12" x14ac:dyDescent="0.25">
      <c r="A37" s="1"/>
      <c r="B37" s="9" t="s">
        <v>63</v>
      </c>
      <c r="C37" s="29">
        <v>0.19</v>
      </c>
      <c r="D37" s="35"/>
      <c r="E37" s="28">
        <f>C37*E26</f>
        <v>2595.1234866666668</v>
      </c>
      <c r="F37" s="15" t="s">
        <v>98</v>
      </c>
      <c r="G37" s="1"/>
      <c r="H37" s="1"/>
      <c r="I37" s="1"/>
      <c r="J37" s="1"/>
      <c r="K37" s="1"/>
    </row>
    <row r="38" spans="1:12" x14ac:dyDescent="0.25">
      <c r="A38" s="1"/>
      <c r="B38" s="23" t="s">
        <v>64</v>
      </c>
      <c r="C38" s="15"/>
      <c r="D38" s="15"/>
      <c r="E38" s="28"/>
      <c r="F38" s="15"/>
      <c r="G38" s="1"/>
      <c r="H38" s="1"/>
      <c r="I38" s="1"/>
      <c r="J38" s="1"/>
      <c r="K38" s="1"/>
    </row>
    <row r="39" spans="1:12" x14ac:dyDescent="0.25">
      <c r="A39" s="1"/>
      <c r="B39" s="9" t="s">
        <v>80</v>
      </c>
      <c r="C39" s="15">
        <v>150</v>
      </c>
      <c r="D39" s="15"/>
      <c r="E39" s="28">
        <f>C39*J6</f>
        <v>150</v>
      </c>
      <c r="F39" s="15" t="s">
        <v>81</v>
      </c>
      <c r="G39" s="1"/>
      <c r="H39" s="1"/>
      <c r="I39" s="1"/>
      <c r="J39" s="1"/>
      <c r="K39" s="1"/>
    </row>
    <row r="40" spans="1:12" x14ac:dyDescent="0.25">
      <c r="A40" s="1"/>
      <c r="B40" s="9" t="s">
        <v>117</v>
      </c>
      <c r="C40" s="15">
        <v>0.15</v>
      </c>
      <c r="D40" s="15"/>
      <c r="E40" s="28">
        <f>MAX((C40*I5),100)</f>
        <v>100</v>
      </c>
      <c r="F40" s="15" t="s">
        <v>82</v>
      </c>
      <c r="G40" s="1"/>
      <c r="H40" s="1"/>
      <c r="I40" s="1"/>
      <c r="J40" s="1"/>
      <c r="K40" s="1"/>
    </row>
    <row r="41" spans="1:12" x14ac:dyDescent="0.25">
      <c r="A41" s="1"/>
      <c r="B41" s="9" t="s">
        <v>83</v>
      </c>
      <c r="C41" s="15">
        <v>90</v>
      </c>
      <c r="D41" s="15"/>
      <c r="E41" s="28">
        <f>C41</f>
        <v>90</v>
      </c>
      <c r="F41" s="15" t="s">
        <v>84</v>
      </c>
      <c r="G41" s="1"/>
      <c r="H41" s="1"/>
      <c r="I41" s="1"/>
      <c r="J41" s="1"/>
      <c r="K41" s="1"/>
    </row>
    <row r="42" spans="1:12" x14ac:dyDescent="0.25">
      <c r="A42" s="1"/>
      <c r="B42" s="23" t="s">
        <v>65</v>
      </c>
      <c r="C42" s="15"/>
      <c r="D42" s="15"/>
      <c r="E42" s="28"/>
      <c r="F42" s="15"/>
      <c r="G42" s="1"/>
      <c r="H42" s="1"/>
      <c r="I42" s="1"/>
      <c r="J42" s="1"/>
      <c r="K42" s="1"/>
    </row>
    <row r="43" spans="1:12" x14ac:dyDescent="0.25">
      <c r="A43" s="1"/>
      <c r="B43" s="9" t="s">
        <v>66</v>
      </c>
      <c r="C43" s="15">
        <v>300</v>
      </c>
      <c r="D43" s="15"/>
      <c r="E43" s="28">
        <f>C43</f>
        <v>300</v>
      </c>
      <c r="F43" s="15" t="s">
        <v>86</v>
      </c>
      <c r="G43" s="1"/>
      <c r="H43" s="1"/>
      <c r="I43" s="1"/>
      <c r="J43" s="1"/>
      <c r="K43" s="1"/>
    </row>
    <row r="44" spans="1:12" x14ac:dyDescent="0.25">
      <c r="A44" s="1"/>
      <c r="B44" s="9" t="s">
        <v>67</v>
      </c>
      <c r="C44" s="15">
        <v>430</v>
      </c>
      <c r="D44" s="15"/>
      <c r="E44" s="28">
        <f>C44</f>
        <v>430</v>
      </c>
      <c r="F44" s="15" t="s">
        <v>85</v>
      </c>
      <c r="G44" s="1"/>
      <c r="H44" s="1"/>
      <c r="I44" s="1"/>
      <c r="J44" s="1"/>
      <c r="K44" s="1"/>
    </row>
    <row r="45" spans="1:12" x14ac:dyDescent="0.25">
      <c r="A45" s="1"/>
      <c r="B45" s="1"/>
      <c r="C45" s="1"/>
      <c r="D45" s="5" t="s">
        <v>68</v>
      </c>
      <c r="E45" s="28">
        <f>SUM(E26:E43)</f>
        <v>19541.449853333335</v>
      </c>
      <c r="F45" s="15" t="s">
        <v>69</v>
      </c>
      <c r="G45" s="10">
        <f>(E45*J4)/I4</f>
        <v>1.9120792420091326</v>
      </c>
      <c r="H45" s="1"/>
      <c r="I45" s="1"/>
      <c r="J45" s="1"/>
      <c r="K45" s="1"/>
    </row>
    <row r="46" spans="1:12" x14ac:dyDescent="0.25">
      <c r="A46" s="1"/>
      <c r="B46" s="1"/>
      <c r="C46" s="1"/>
      <c r="D46" s="1"/>
      <c r="E46" s="36">
        <f>SUM(E26:E41,E44)</f>
        <v>19671.449853333335</v>
      </c>
      <c r="F46" s="15" t="s">
        <v>70</v>
      </c>
      <c r="G46" s="10">
        <f>(E46*J4)/I4</f>
        <v>1.9247993985649057</v>
      </c>
      <c r="H46" s="1"/>
      <c r="I46" s="1"/>
      <c r="J46" s="1"/>
      <c r="K46" s="1"/>
    </row>
    <row r="47" spans="1:12" x14ac:dyDescent="0.25">
      <c r="A47" s="1"/>
      <c r="B47" s="4"/>
      <c r="C47" s="37"/>
      <c r="D47" s="1"/>
      <c r="E47" s="38"/>
      <c r="F47" s="1"/>
      <c r="G47" s="1"/>
      <c r="H47" s="1"/>
      <c r="I47" s="1"/>
      <c r="J47" s="1"/>
      <c r="K47" s="1"/>
      <c r="L47" s="1"/>
    </row>
    <row r="48" spans="1:1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</row>
    <row r="49" spans="1:1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</row>
    <row r="50" spans="1:1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1:12" x14ac:dyDescent="0.25">
      <c r="G51" s="3"/>
    </row>
    <row r="58" spans="1:12" x14ac:dyDescent="0.25">
      <c r="G58" s="46"/>
    </row>
    <row r="59" spans="1:12" x14ac:dyDescent="0.25">
      <c r="G59" s="46"/>
    </row>
  </sheetData>
  <sheetProtection sheet="1" objects="1" scenarios="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zoomScaleNormal="100" workbookViewId="0"/>
  </sheetViews>
  <sheetFormatPr baseColWidth="10" defaultRowHeight="15" x14ac:dyDescent="0.25"/>
  <cols>
    <col min="1" max="1" width="1.7109375" customWidth="1"/>
    <col min="2" max="2" width="33" customWidth="1"/>
    <col min="6" max="6" width="48.85546875" customWidth="1"/>
    <col min="8" max="8" width="25.5703125" customWidth="1"/>
    <col min="9" max="9" width="11.85546875" bestFit="1" customWidth="1"/>
  </cols>
  <sheetData>
    <row r="1" spans="1:12" x14ac:dyDescent="0.25">
      <c r="A1" s="1"/>
      <c r="B1" s="13" t="s">
        <v>124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1"/>
      <c r="B2" s="13" t="s">
        <v>99</v>
      </c>
      <c r="C2" s="27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"/>
      <c r="B3" s="7" t="s">
        <v>101</v>
      </c>
      <c r="C3" s="7"/>
      <c r="D3" s="7"/>
      <c r="E3" s="8"/>
      <c r="F3" s="7" t="s">
        <v>17</v>
      </c>
      <c r="G3" s="7" t="s">
        <v>18</v>
      </c>
      <c r="H3" s="7" t="s">
        <v>19</v>
      </c>
      <c r="I3" s="7" t="s">
        <v>20</v>
      </c>
      <c r="J3" s="1"/>
      <c r="K3" s="1"/>
      <c r="L3" s="1"/>
    </row>
    <row r="4" spans="1:12" x14ac:dyDescent="0.25">
      <c r="A4" s="1"/>
      <c r="B4" s="9" t="s">
        <v>21</v>
      </c>
      <c r="C4" s="15">
        <v>15</v>
      </c>
      <c r="D4" s="15"/>
      <c r="E4" s="28">
        <f>PRODUCT(C4,I7)</f>
        <v>15</v>
      </c>
      <c r="F4" s="15" t="s">
        <v>22</v>
      </c>
      <c r="G4" s="1"/>
      <c r="H4" s="25" t="s">
        <v>23</v>
      </c>
      <c r="I4" s="24">
        <v>5200</v>
      </c>
      <c r="J4" s="29">
        <v>1</v>
      </c>
      <c r="K4" s="1"/>
      <c r="L4" s="1"/>
    </row>
    <row r="5" spans="1:12" x14ac:dyDescent="0.25">
      <c r="A5" s="1"/>
      <c r="B5" s="23" t="s">
        <v>119</v>
      </c>
      <c r="C5" s="15"/>
      <c r="D5" s="15"/>
      <c r="E5" s="28"/>
      <c r="F5" s="15"/>
      <c r="G5" s="1"/>
      <c r="H5" s="23" t="s">
        <v>5</v>
      </c>
      <c r="I5" s="15">
        <v>181</v>
      </c>
      <c r="J5" s="1"/>
      <c r="K5" s="1"/>
      <c r="L5" s="1"/>
    </row>
    <row r="6" spans="1:12" x14ac:dyDescent="0.25">
      <c r="A6" s="1"/>
      <c r="B6" s="9" t="s">
        <v>120</v>
      </c>
      <c r="C6" s="30">
        <v>2E-3</v>
      </c>
      <c r="D6" s="15"/>
      <c r="E6" s="28">
        <f>MAX((I4+E4)*C6,40)+6</f>
        <v>46</v>
      </c>
      <c r="F6" s="15" t="s">
        <v>121</v>
      </c>
      <c r="G6" s="1"/>
      <c r="H6" s="23" t="s">
        <v>28</v>
      </c>
      <c r="I6" s="15">
        <v>0.125</v>
      </c>
      <c r="J6" s="15">
        <v>1</v>
      </c>
      <c r="K6" s="1"/>
      <c r="L6" s="1"/>
    </row>
    <row r="7" spans="1:12" x14ac:dyDescent="0.25">
      <c r="A7" s="1"/>
      <c r="B7" s="9"/>
      <c r="C7" s="15"/>
      <c r="D7" s="5" t="s">
        <v>24</v>
      </c>
      <c r="E7" s="28">
        <f>I4+E4+E6</f>
        <v>5261</v>
      </c>
      <c r="F7" s="15" t="s">
        <v>25</v>
      </c>
      <c r="G7" s="10">
        <f>E7*J4/I4</f>
        <v>1.0117307692307693</v>
      </c>
      <c r="H7" s="1"/>
      <c r="I7" s="1"/>
      <c r="J7" s="1"/>
      <c r="K7" s="1"/>
      <c r="L7" s="1"/>
    </row>
    <row r="8" spans="1:12" x14ac:dyDescent="0.25">
      <c r="A8" s="1"/>
      <c r="B8" s="23" t="s">
        <v>27</v>
      </c>
      <c r="C8" s="15"/>
      <c r="D8" s="15"/>
      <c r="E8" s="28"/>
      <c r="F8" s="15"/>
      <c r="G8" s="1"/>
      <c r="H8" s="23" t="s">
        <v>30</v>
      </c>
      <c r="I8" s="15" t="s">
        <v>31</v>
      </c>
      <c r="J8" s="1"/>
      <c r="K8" s="1"/>
      <c r="L8" s="1"/>
    </row>
    <row r="9" spans="1:12" x14ac:dyDescent="0.25">
      <c r="A9" s="1"/>
      <c r="B9" s="9" t="s">
        <v>71</v>
      </c>
      <c r="C9" s="15"/>
      <c r="D9" s="15"/>
      <c r="E9" s="28">
        <f>SUM(100+100*21%)</f>
        <v>121</v>
      </c>
      <c r="F9" s="15" t="s">
        <v>34</v>
      </c>
      <c r="G9" s="1"/>
      <c r="H9" s="23" t="s">
        <v>33</v>
      </c>
      <c r="I9" s="15">
        <v>45</v>
      </c>
      <c r="J9" s="1"/>
      <c r="K9" s="1"/>
      <c r="L9" s="1"/>
    </row>
    <row r="10" spans="1:12" x14ac:dyDescent="0.25">
      <c r="A10" s="1"/>
      <c r="B10" s="9" t="s">
        <v>72</v>
      </c>
      <c r="C10" s="15"/>
      <c r="D10" s="15"/>
      <c r="E10" s="28">
        <f>SUM(70+70*21%)</f>
        <v>84.7</v>
      </c>
      <c r="F10" s="15" t="s">
        <v>73</v>
      </c>
      <c r="G10" s="1"/>
      <c r="H10" s="23" t="s">
        <v>35</v>
      </c>
      <c r="I10" s="15">
        <v>2</v>
      </c>
      <c r="J10" s="1"/>
      <c r="K10" s="1"/>
      <c r="L10" s="1"/>
    </row>
    <row r="11" spans="1:12" x14ac:dyDescent="0.25">
      <c r="A11" s="1"/>
      <c r="B11" s="9" t="s">
        <v>74</v>
      </c>
      <c r="C11" s="15"/>
      <c r="D11" s="15"/>
      <c r="E11" s="28">
        <f>50+(50*21%)</f>
        <v>60.5</v>
      </c>
      <c r="F11" s="15" t="s">
        <v>75</v>
      </c>
      <c r="G11" s="1"/>
      <c r="H11" s="23" t="s">
        <v>37</v>
      </c>
      <c r="I11" s="15">
        <v>2</v>
      </c>
      <c r="J11" s="1"/>
      <c r="K11" s="1"/>
      <c r="L11" s="1"/>
    </row>
    <row r="12" spans="1:12" x14ac:dyDescent="0.25">
      <c r="A12" s="1"/>
      <c r="B12" s="9" t="s">
        <v>76</v>
      </c>
      <c r="C12" s="15"/>
      <c r="D12" s="15"/>
      <c r="E12" s="28">
        <f>45+(45*21%)</f>
        <v>54.45</v>
      </c>
      <c r="F12" s="15" t="s">
        <v>32</v>
      </c>
      <c r="G12" s="1"/>
      <c r="H12" s="23" t="s">
        <v>40</v>
      </c>
      <c r="I12" s="15">
        <v>5</v>
      </c>
      <c r="J12" s="1"/>
      <c r="K12" s="1"/>
      <c r="L12" s="1"/>
    </row>
    <row r="13" spans="1:12" x14ac:dyDescent="0.25">
      <c r="A13" s="1"/>
      <c r="B13" s="9" t="s">
        <v>36</v>
      </c>
      <c r="C13" s="15"/>
      <c r="D13" s="15"/>
      <c r="E13" s="28"/>
      <c r="F13" s="15"/>
      <c r="G13" s="1"/>
      <c r="H13" s="26" t="s">
        <v>43</v>
      </c>
      <c r="I13" s="15">
        <f>SUM(I9:I12)</f>
        <v>54</v>
      </c>
      <c r="J13" s="1"/>
      <c r="K13" s="1"/>
      <c r="L13" s="1"/>
    </row>
    <row r="14" spans="1:12" x14ac:dyDescent="0.25">
      <c r="A14" s="1"/>
      <c r="B14" s="9" t="s">
        <v>38</v>
      </c>
      <c r="C14" s="15"/>
      <c r="D14" s="15"/>
      <c r="E14" s="28">
        <f>400+400*21%</f>
        <v>484</v>
      </c>
      <c r="F14" s="15" t="s">
        <v>39</v>
      </c>
      <c r="G14" s="1"/>
      <c r="H14" s="2"/>
      <c r="I14" s="2"/>
      <c r="J14" s="1"/>
      <c r="K14" s="1"/>
      <c r="L14" s="1"/>
    </row>
    <row r="15" spans="1:12" x14ac:dyDescent="0.25">
      <c r="A15" s="1"/>
      <c r="B15" s="9" t="s">
        <v>41</v>
      </c>
      <c r="C15" s="15"/>
      <c r="D15" s="15"/>
      <c r="E15" s="28">
        <f>150+150*21%</f>
        <v>181.5</v>
      </c>
      <c r="F15" s="15" t="s">
        <v>42</v>
      </c>
      <c r="G15" s="1"/>
      <c r="H15" s="25" t="s">
        <v>46</v>
      </c>
      <c r="I15" s="15">
        <v>2</v>
      </c>
      <c r="J15" s="1"/>
      <c r="K15" s="1"/>
      <c r="L15" s="1"/>
    </row>
    <row r="16" spans="1:12" x14ac:dyDescent="0.25">
      <c r="A16" s="1"/>
      <c r="B16" s="9" t="s">
        <v>44</v>
      </c>
      <c r="C16" s="15"/>
      <c r="D16" s="15"/>
      <c r="E16" s="28">
        <f>125+125*21%</f>
        <v>151.25</v>
      </c>
      <c r="F16" s="15" t="s">
        <v>45</v>
      </c>
      <c r="G16" s="1"/>
      <c r="H16" s="23" t="s">
        <v>37</v>
      </c>
      <c r="I16" s="15">
        <v>2</v>
      </c>
      <c r="J16" s="1"/>
      <c r="K16" s="1"/>
      <c r="L16" s="1"/>
    </row>
    <row r="17" spans="1:12" x14ac:dyDescent="0.25">
      <c r="A17" s="1"/>
      <c r="B17" s="9"/>
      <c r="C17" s="15"/>
      <c r="D17" s="5" t="s">
        <v>47</v>
      </c>
      <c r="E17" s="28">
        <f>SUM(E7:E16)</f>
        <v>6398.4</v>
      </c>
      <c r="F17" s="15"/>
      <c r="G17" s="1"/>
      <c r="H17" s="23" t="s">
        <v>40</v>
      </c>
      <c r="I17" s="15">
        <v>5</v>
      </c>
      <c r="J17" s="1"/>
      <c r="K17" s="1"/>
      <c r="L17" s="1"/>
    </row>
    <row r="18" spans="1:12" x14ac:dyDescent="0.25">
      <c r="A18" s="1"/>
      <c r="B18" s="23" t="s">
        <v>48</v>
      </c>
      <c r="C18" s="15"/>
      <c r="D18" s="15"/>
      <c r="E18" s="28"/>
      <c r="F18" s="15"/>
      <c r="G18" s="1"/>
      <c r="H18" s="23" t="s">
        <v>50</v>
      </c>
      <c r="I18" s="15">
        <f>SUM(I9,I15:I17)</f>
        <v>54</v>
      </c>
      <c r="J18" s="1"/>
      <c r="K18" s="1"/>
      <c r="L18" s="1"/>
    </row>
    <row r="19" spans="1:12" x14ac:dyDescent="0.25">
      <c r="A19" s="1"/>
      <c r="B19" s="9" t="s">
        <v>7</v>
      </c>
      <c r="C19" s="29">
        <v>0.12</v>
      </c>
      <c r="D19" s="15"/>
      <c r="E19" s="28">
        <f>MIN((I4*C19),(((E17+I4*12%)*3))/45)</f>
        <v>468.15999999999991</v>
      </c>
      <c r="F19" s="15" t="s">
        <v>49</v>
      </c>
      <c r="G19" s="1"/>
      <c r="H19" s="1"/>
      <c r="I19" s="1"/>
      <c r="J19" s="1"/>
      <c r="K19" s="1"/>
      <c r="L19" s="1"/>
    </row>
    <row r="20" spans="1:12" x14ac:dyDescent="0.25">
      <c r="A20" s="1"/>
      <c r="B20" s="9" t="s">
        <v>51</v>
      </c>
      <c r="C20" s="30">
        <v>4.4999999999999998E-2</v>
      </c>
      <c r="D20" s="15"/>
      <c r="E20" s="28">
        <f>E17*C20</f>
        <v>287.928</v>
      </c>
      <c r="F20" s="15" t="s">
        <v>52</v>
      </c>
      <c r="G20" s="1"/>
      <c r="H20" s="4"/>
      <c r="I20" s="11"/>
      <c r="J20" s="1"/>
      <c r="K20" s="1"/>
      <c r="L20" s="1"/>
    </row>
    <row r="21" spans="1:12" x14ac:dyDescent="0.25">
      <c r="A21" s="1"/>
      <c r="B21" s="9"/>
      <c r="C21" s="29"/>
      <c r="D21" s="5" t="s">
        <v>53</v>
      </c>
      <c r="E21" s="28">
        <f>SUM(E17:E20)</f>
        <v>7154.4879999999994</v>
      </c>
      <c r="F21" s="15"/>
      <c r="G21" s="1"/>
      <c r="H21" s="4"/>
      <c r="I21" s="12"/>
      <c r="J21" s="1"/>
      <c r="K21" s="1"/>
      <c r="L21" s="1"/>
    </row>
    <row r="22" spans="1:12" x14ac:dyDescent="0.25">
      <c r="A22" s="1"/>
      <c r="B22" s="9" t="s">
        <v>77</v>
      </c>
      <c r="C22" s="15">
        <v>1.65</v>
      </c>
      <c r="D22" s="15"/>
      <c r="E22" s="28">
        <f>(C22*I5)</f>
        <v>298.64999999999998</v>
      </c>
      <c r="F22" s="15" t="s">
        <v>78</v>
      </c>
      <c r="G22" s="1"/>
      <c r="H22" s="4"/>
      <c r="I22" s="11"/>
      <c r="J22" s="1"/>
      <c r="K22" s="1"/>
      <c r="L22" s="1"/>
    </row>
    <row r="23" spans="1:12" x14ac:dyDescent="0.25">
      <c r="A23" s="1"/>
      <c r="B23" s="9" t="s">
        <v>113</v>
      </c>
      <c r="C23" s="15">
        <v>30</v>
      </c>
      <c r="D23" s="15"/>
      <c r="E23" s="28">
        <f>C23</f>
        <v>30</v>
      </c>
      <c r="F23" s="15" t="s">
        <v>115</v>
      </c>
      <c r="G23" s="1"/>
      <c r="H23" s="1"/>
      <c r="I23" s="1"/>
      <c r="J23" s="1"/>
      <c r="K23" s="1"/>
      <c r="L23" s="1"/>
    </row>
    <row r="24" spans="1:12" x14ac:dyDescent="0.25">
      <c r="A24" s="1"/>
      <c r="B24" s="9" t="s">
        <v>114</v>
      </c>
      <c r="C24" s="15">
        <v>25</v>
      </c>
      <c r="D24" s="15"/>
      <c r="E24" s="28">
        <f>C24</f>
        <v>25</v>
      </c>
      <c r="F24" s="15" t="s">
        <v>116</v>
      </c>
      <c r="G24" s="1"/>
      <c r="H24" s="33"/>
      <c r="I24" s="1"/>
      <c r="J24" s="1"/>
      <c r="K24" s="1"/>
      <c r="L24" s="1"/>
    </row>
    <row r="25" spans="1:12" x14ac:dyDescent="0.25">
      <c r="A25" s="1"/>
      <c r="B25" s="9" t="s">
        <v>54</v>
      </c>
      <c r="C25" s="30">
        <v>5.4999999999999997E-3</v>
      </c>
      <c r="D25" s="15"/>
      <c r="E25" s="28">
        <f>MAX((C25*E21),100)</f>
        <v>100</v>
      </c>
      <c r="F25" s="15" t="s">
        <v>55</v>
      </c>
      <c r="G25" s="1"/>
      <c r="H25" s="1"/>
      <c r="I25" s="1"/>
      <c r="J25" s="1"/>
      <c r="K25" s="1"/>
      <c r="L25" s="1"/>
    </row>
    <row r="26" spans="1:12" x14ac:dyDescent="0.25">
      <c r="A26" s="1"/>
      <c r="B26" s="9"/>
      <c r="C26" s="15"/>
      <c r="D26" s="5" t="s">
        <v>56</v>
      </c>
      <c r="E26" s="28">
        <f>SUM(E21:E25)</f>
        <v>7608.137999999999</v>
      </c>
      <c r="F26" s="15"/>
      <c r="G26" s="10">
        <f>(E21*J4)/I4</f>
        <v>1.3758630769230769</v>
      </c>
      <c r="H26" s="34"/>
      <c r="I26" s="1"/>
      <c r="J26" s="1"/>
      <c r="K26" s="1"/>
      <c r="L26" s="1"/>
    </row>
    <row r="27" spans="1:12" x14ac:dyDescent="0.25">
      <c r="A27" s="1"/>
      <c r="B27" s="9" t="s">
        <v>57</v>
      </c>
      <c r="C27" s="29">
        <v>0.01</v>
      </c>
      <c r="D27" s="15"/>
      <c r="E27" s="28">
        <f>MAX((C27*E26),300)</f>
        <v>300</v>
      </c>
      <c r="F27" s="15" t="s">
        <v>58</v>
      </c>
      <c r="G27" s="1"/>
      <c r="H27" s="1"/>
      <c r="I27" s="1"/>
      <c r="J27" s="1"/>
      <c r="K27" s="1"/>
      <c r="L27" s="1"/>
    </row>
    <row r="28" spans="1:12" x14ac:dyDescent="0.25">
      <c r="A28" s="1"/>
      <c r="B28" s="23" t="s">
        <v>59</v>
      </c>
      <c r="C28" s="15"/>
      <c r="D28" s="15"/>
      <c r="E28" s="28"/>
      <c r="F28" s="15"/>
      <c r="G28" s="1"/>
      <c r="H28" s="1"/>
      <c r="I28" s="1"/>
      <c r="J28" s="1"/>
      <c r="K28" s="1"/>
      <c r="L28" s="1"/>
    </row>
    <row r="29" spans="1:12" x14ac:dyDescent="0.25">
      <c r="A29" s="1"/>
      <c r="B29" s="9" t="s">
        <v>87</v>
      </c>
      <c r="C29" s="30">
        <v>3.0000000000000001E-3</v>
      </c>
      <c r="D29" s="15"/>
      <c r="E29" s="28">
        <f>MAX((C29*E26),112)</f>
        <v>112</v>
      </c>
      <c r="F29" s="15" t="s">
        <v>88</v>
      </c>
      <c r="G29" s="10">
        <f>(J4*E26)/I4</f>
        <v>1.4631034615384613</v>
      </c>
      <c r="H29" s="1"/>
      <c r="I29" s="1"/>
      <c r="J29" s="1"/>
      <c r="K29" s="1"/>
      <c r="L29" s="1"/>
    </row>
    <row r="30" spans="1:12" x14ac:dyDescent="0.25">
      <c r="A30" s="1"/>
      <c r="B30" s="9" t="s">
        <v>89</v>
      </c>
      <c r="C30" s="15">
        <v>48</v>
      </c>
      <c r="D30" s="15"/>
      <c r="E30" s="28">
        <f>C30</f>
        <v>48</v>
      </c>
      <c r="F30" s="15" t="s">
        <v>90</v>
      </c>
      <c r="G30" s="1"/>
      <c r="H30" s="1"/>
      <c r="I30" s="1"/>
      <c r="J30" s="1"/>
      <c r="K30" s="1"/>
      <c r="L30" s="1"/>
    </row>
    <row r="31" spans="1:12" x14ac:dyDescent="0.25">
      <c r="A31" s="1"/>
      <c r="B31" s="9" t="s">
        <v>91</v>
      </c>
      <c r="C31" s="35">
        <v>7</v>
      </c>
      <c r="D31" s="35"/>
      <c r="E31" s="28">
        <f>C31</f>
        <v>7</v>
      </c>
      <c r="F31" s="15" t="s">
        <v>92</v>
      </c>
      <c r="G31" s="1"/>
      <c r="H31" s="1"/>
      <c r="I31" s="1"/>
      <c r="J31" s="1"/>
      <c r="K31" s="1"/>
      <c r="L31" s="1"/>
    </row>
    <row r="32" spans="1:12" x14ac:dyDescent="0.25">
      <c r="A32" s="1"/>
      <c r="B32" s="9" t="s">
        <v>60</v>
      </c>
      <c r="C32" s="35">
        <v>12</v>
      </c>
      <c r="D32" s="15"/>
      <c r="E32" s="28">
        <f>C32</f>
        <v>12</v>
      </c>
      <c r="F32" s="15" t="s">
        <v>93</v>
      </c>
      <c r="G32" s="1"/>
      <c r="H32" s="1"/>
      <c r="I32" s="1"/>
      <c r="J32" s="1"/>
      <c r="K32" s="1"/>
      <c r="L32" s="1"/>
    </row>
    <row r="33" spans="1:12" x14ac:dyDescent="0.25">
      <c r="A33" s="1"/>
      <c r="B33" s="9" t="s">
        <v>94</v>
      </c>
      <c r="C33" s="35">
        <v>48</v>
      </c>
      <c r="D33" s="15"/>
      <c r="E33" s="28">
        <f>C33</f>
        <v>48</v>
      </c>
      <c r="F33" s="15" t="s">
        <v>95</v>
      </c>
      <c r="G33" s="1"/>
      <c r="H33" s="1"/>
      <c r="I33" s="1"/>
      <c r="J33" s="1"/>
      <c r="K33" s="1"/>
      <c r="L33" s="1"/>
    </row>
    <row r="34" spans="1:12" x14ac:dyDescent="0.25">
      <c r="A34" s="1"/>
      <c r="B34" s="9" t="s">
        <v>96</v>
      </c>
      <c r="C34" s="35">
        <v>48</v>
      </c>
      <c r="D34" s="35"/>
      <c r="E34" s="28">
        <f>C34</f>
        <v>48</v>
      </c>
      <c r="F34" s="15" t="s">
        <v>90</v>
      </c>
      <c r="G34" s="1"/>
      <c r="H34" s="1"/>
      <c r="I34" s="1"/>
      <c r="J34" s="1"/>
      <c r="K34" s="1"/>
      <c r="L34" s="1"/>
    </row>
    <row r="35" spans="1:12" x14ac:dyDescent="0.25">
      <c r="A35" s="1"/>
      <c r="B35" s="23" t="s">
        <v>61</v>
      </c>
      <c r="C35" s="35"/>
      <c r="D35" s="35"/>
      <c r="E35" s="28"/>
      <c r="F35" s="15"/>
      <c r="G35" s="1"/>
      <c r="H35" s="1"/>
      <c r="I35" s="1"/>
      <c r="J35" s="1"/>
      <c r="K35" s="1"/>
      <c r="L35" s="1"/>
    </row>
    <row r="36" spans="1:12" x14ac:dyDescent="0.25">
      <c r="A36" s="1"/>
      <c r="B36" s="9" t="s">
        <v>62</v>
      </c>
      <c r="C36" s="29">
        <v>0.15</v>
      </c>
      <c r="D36" s="35"/>
      <c r="E36" s="28">
        <f>C36*E26</f>
        <v>1141.2206999999999</v>
      </c>
      <c r="F36" s="15" t="s">
        <v>97</v>
      </c>
      <c r="G36" s="1"/>
      <c r="H36" s="1"/>
      <c r="I36" s="1"/>
      <c r="J36" s="1"/>
      <c r="K36" s="1"/>
      <c r="L36" s="1"/>
    </row>
    <row r="37" spans="1:12" x14ac:dyDescent="0.25">
      <c r="A37" s="1"/>
      <c r="B37" s="9" t="s">
        <v>63</v>
      </c>
      <c r="C37" s="29">
        <v>0.19</v>
      </c>
      <c r="D37" s="35"/>
      <c r="E37" s="28">
        <f>C37*E26</f>
        <v>1445.5462199999997</v>
      </c>
      <c r="F37" s="15" t="s">
        <v>98</v>
      </c>
      <c r="G37" s="1"/>
      <c r="H37" s="1"/>
      <c r="I37" s="1"/>
      <c r="J37" s="1"/>
      <c r="K37" s="1"/>
      <c r="L37" s="1"/>
    </row>
    <row r="38" spans="1:12" x14ac:dyDescent="0.25">
      <c r="A38" s="1"/>
      <c r="B38" s="23" t="s">
        <v>64</v>
      </c>
      <c r="C38" s="15"/>
      <c r="D38" s="15"/>
      <c r="E38" s="28"/>
      <c r="F38" s="15"/>
      <c r="G38" s="1"/>
      <c r="H38" s="1"/>
      <c r="I38" s="1"/>
      <c r="J38" s="1"/>
      <c r="K38" s="1"/>
      <c r="L38" s="1"/>
    </row>
    <row r="39" spans="1:12" x14ac:dyDescent="0.25">
      <c r="A39" s="1"/>
      <c r="B39" s="9" t="s">
        <v>80</v>
      </c>
      <c r="C39" s="15">
        <v>150</v>
      </c>
      <c r="D39" s="15"/>
      <c r="E39" s="28">
        <f>C39*J6</f>
        <v>150</v>
      </c>
      <c r="F39" s="15" t="s">
        <v>81</v>
      </c>
      <c r="G39" s="1"/>
      <c r="H39" s="1"/>
      <c r="I39" s="1"/>
      <c r="J39" s="1"/>
      <c r="K39" s="1"/>
      <c r="L39" s="1"/>
    </row>
    <row r="40" spans="1:12" x14ac:dyDescent="0.25">
      <c r="A40" s="1"/>
      <c r="B40" s="9" t="s">
        <v>117</v>
      </c>
      <c r="C40" s="15">
        <v>0.15</v>
      </c>
      <c r="D40" s="15"/>
      <c r="E40" s="28">
        <f>MAX((C40*I5),100)</f>
        <v>100</v>
      </c>
      <c r="F40" s="15" t="s">
        <v>82</v>
      </c>
      <c r="G40" s="1"/>
      <c r="H40" s="1"/>
      <c r="I40" s="1"/>
      <c r="J40" s="1"/>
      <c r="K40" s="1"/>
      <c r="L40" s="1"/>
    </row>
    <row r="41" spans="1:12" x14ac:dyDescent="0.25">
      <c r="A41" s="1"/>
      <c r="B41" s="9" t="s">
        <v>83</v>
      </c>
      <c r="C41" s="15">
        <v>90</v>
      </c>
      <c r="D41" s="15"/>
      <c r="E41" s="28">
        <f>C41</f>
        <v>90</v>
      </c>
      <c r="F41" s="15" t="s">
        <v>84</v>
      </c>
      <c r="G41" s="1"/>
      <c r="H41" s="1"/>
      <c r="I41" s="1"/>
      <c r="J41" s="1"/>
      <c r="K41" s="1"/>
      <c r="L41" s="1"/>
    </row>
    <row r="42" spans="1:12" x14ac:dyDescent="0.25">
      <c r="A42" s="1"/>
      <c r="B42" s="23" t="s">
        <v>65</v>
      </c>
      <c r="C42" s="15"/>
      <c r="D42" s="15"/>
      <c r="E42" s="28"/>
      <c r="F42" s="15"/>
      <c r="G42" s="1"/>
      <c r="H42" s="1"/>
      <c r="I42" s="1"/>
      <c r="J42" s="1"/>
      <c r="K42" s="1"/>
      <c r="L42" s="1"/>
    </row>
    <row r="43" spans="1:12" x14ac:dyDescent="0.25">
      <c r="A43" s="1"/>
      <c r="B43" s="9" t="s">
        <v>66</v>
      </c>
      <c r="C43" s="15">
        <v>300</v>
      </c>
      <c r="D43" s="15"/>
      <c r="E43" s="28">
        <f>C43</f>
        <v>300</v>
      </c>
      <c r="F43" s="15" t="s">
        <v>86</v>
      </c>
      <c r="G43" s="1"/>
      <c r="H43" s="1"/>
      <c r="I43" s="1"/>
      <c r="J43" s="1"/>
      <c r="K43" s="1"/>
      <c r="L43" s="1"/>
    </row>
    <row r="44" spans="1:12" x14ac:dyDescent="0.25">
      <c r="A44" s="1"/>
      <c r="B44" s="9" t="s">
        <v>67</v>
      </c>
      <c r="C44" s="15">
        <v>430</v>
      </c>
      <c r="D44" s="15"/>
      <c r="E44" s="28">
        <f>C44</f>
        <v>430</v>
      </c>
      <c r="F44" s="15" t="s">
        <v>85</v>
      </c>
      <c r="G44" s="1"/>
      <c r="H44" s="1"/>
      <c r="I44" s="1"/>
      <c r="J44" s="1"/>
      <c r="K44" s="1"/>
      <c r="L44" s="1"/>
    </row>
    <row r="45" spans="1:12" x14ac:dyDescent="0.25">
      <c r="A45" s="1"/>
      <c r="B45" s="1"/>
      <c r="C45" s="1"/>
      <c r="D45" s="5" t="s">
        <v>68</v>
      </c>
      <c r="E45" s="28">
        <f>SUM(E26:E43)</f>
        <v>11409.904919999999</v>
      </c>
      <c r="F45" s="15" t="s">
        <v>69</v>
      </c>
      <c r="G45" s="10">
        <f>(E45*J4)/I4</f>
        <v>2.1942124846153845</v>
      </c>
      <c r="H45" s="1"/>
      <c r="I45" s="1"/>
      <c r="J45" s="1"/>
      <c r="K45" s="1"/>
      <c r="L45" s="1"/>
    </row>
    <row r="46" spans="1:12" x14ac:dyDescent="0.25">
      <c r="A46" s="1"/>
      <c r="B46" s="1"/>
      <c r="C46" s="1"/>
      <c r="D46" s="1"/>
      <c r="E46" s="36">
        <f>SUM(E26:E41,E44)</f>
        <v>11539.904919999999</v>
      </c>
      <c r="F46" s="15" t="s">
        <v>70</v>
      </c>
      <c r="G46" s="10">
        <f>(E46*J4)/I4</f>
        <v>2.2192124846153845</v>
      </c>
      <c r="H46" s="1"/>
      <c r="I46" s="1"/>
      <c r="J46" s="1"/>
      <c r="K46" s="1"/>
      <c r="L46" s="1"/>
    </row>
    <row r="47" spans="1:12" x14ac:dyDescent="0.25">
      <c r="A47" s="1"/>
      <c r="B47" s="4"/>
      <c r="C47" s="37"/>
      <c r="D47" s="1"/>
      <c r="E47" s="38"/>
      <c r="F47" s="1"/>
      <c r="G47" s="1"/>
      <c r="H47" s="1"/>
      <c r="I47" s="1"/>
      <c r="J47" s="1"/>
      <c r="K47" s="1"/>
      <c r="L47" s="1"/>
    </row>
    <row r="48" spans="1:1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</row>
    <row r="49" spans="1:1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</row>
    <row r="50" spans="1:1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</sheetData>
  <sheetProtection sheet="1" objects="1" scenarios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workbookViewId="0">
      <selection activeCell="H15" sqref="H15:H18"/>
    </sheetView>
  </sheetViews>
  <sheetFormatPr baseColWidth="10" defaultRowHeight="15" x14ac:dyDescent="0.25"/>
  <cols>
    <col min="1" max="1" width="1.7109375" customWidth="1"/>
    <col min="2" max="2" width="33" customWidth="1"/>
    <col min="6" max="6" width="48.85546875" customWidth="1"/>
    <col min="7" max="7" width="11.85546875" bestFit="1" customWidth="1"/>
    <col min="8" max="8" width="26.7109375" customWidth="1"/>
  </cols>
  <sheetData>
    <row r="1" spans="1:11" x14ac:dyDescent="0.25">
      <c r="A1" s="1"/>
      <c r="B1" s="13" t="s">
        <v>125</v>
      </c>
      <c r="C1" s="1"/>
      <c r="D1" s="1"/>
      <c r="E1" s="1"/>
      <c r="F1" s="1"/>
      <c r="G1" s="1"/>
      <c r="H1" s="1"/>
      <c r="I1" s="1"/>
      <c r="J1" s="1"/>
      <c r="K1" s="6"/>
    </row>
    <row r="2" spans="1:11" x14ac:dyDescent="0.25">
      <c r="A2" s="1"/>
      <c r="B2" s="13" t="s">
        <v>99</v>
      </c>
      <c r="C2" s="27"/>
      <c r="D2" s="1"/>
      <c r="E2" s="1"/>
      <c r="F2" s="1"/>
      <c r="G2" s="1"/>
      <c r="H2" s="1"/>
      <c r="I2" s="1"/>
      <c r="J2" s="1"/>
      <c r="K2" s="6"/>
    </row>
    <row r="3" spans="1:11" x14ac:dyDescent="0.25">
      <c r="A3" s="1"/>
      <c r="B3" s="7" t="s">
        <v>100</v>
      </c>
      <c r="C3" s="7"/>
      <c r="D3" s="7"/>
      <c r="E3" s="8"/>
      <c r="F3" s="7" t="s">
        <v>17</v>
      </c>
      <c r="G3" s="7" t="s">
        <v>18</v>
      </c>
      <c r="H3" s="7" t="s">
        <v>9</v>
      </c>
      <c r="I3" s="7" t="s">
        <v>10</v>
      </c>
      <c r="J3" s="1"/>
      <c r="K3" s="6"/>
    </row>
    <row r="4" spans="1:11" x14ac:dyDescent="0.25">
      <c r="A4" s="1"/>
      <c r="B4" s="9" t="s">
        <v>21</v>
      </c>
      <c r="C4" s="15">
        <v>15</v>
      </c>
      <c r="D4" s="15"/>
      <c r="E4" s="28">
        <f>PRODUCT(C4,I7)</f>
        <v>15</v>
      </c>
      <c r="F4" s="15" t="s">
        <v>22</v>
      </c>
      <c r="G4" s="1"/>
      <c r="H4" s="23" t="s">
        <v>23</v>
      </c>
      <c r="I4" s="15">
        <v>2550</v>
      </c>
      <c r="J4" s="29">
        <v>1</v>
      </c>
      <c r="K4" s="6"/>
    </row>
    <row r="5" spans="1:11" x14ac:dyDescent="0.25">
      <c r="A5" s="1"/>
      <c r="B5" s="23" t="s">
        <v>119</v>
      </c>
      <c r="C5" s="15"/>
      <c r="D5" s="15"/>
      <c r="E5" s="28"/>
      <c r="F5" s="15"/>
      <c r="G5" s="1"/>
      <c r="H5" s="23" t="s">
        <v>5</v>
      </c>
      <c r="I5" s="15">
        <v>134</v>
      </c>
      <c r="J5" s="1"/>
      <c r="K5" s="6"/>
    </row>
    <row r="6" spans="1:11" x14ac:dyDescent="0.25">
      <c r="A6" s="1"/>
      <c r="B6" s="9" t="s">
        <v>120</v>
      </c>
      <c r="C6" s="30">
        <v>2E-3</v>
      </c>
      <c r="D6" s="15"/>
      <c r="E6" s="28">
        <f>MAX((I4+E4)*C6,40)+6</f>
        <v>46</v>
      </c>
      <c r="F6" s="15" t="s">
        <v>121</v>
      </c>
      <c r="G6" s="1"/>
      <c r="H6" s="23" t="s">
        <v>28</v>
      </c>
      <c r="I6" s="15">
        <v>0.125</v>
      </c>
      <c r="J6" s="15">
        <v>1</v>
      </c>
      <c r="K6" s="6"/>
    </row>
    <row r="7" spans="1:11" x14ac:dyDescent="0.25">
      <c r="A7" s="1"/>
      <c r="B7" s="9"/>
      <c r="C7" s="15"/>
      <c r="D7" s="5" t="s">
        <v>24</v>
      </c>
      <c r="E7" s="28">
        <f>I4+E4+E6</f>
        <v>2611</v>
      </c>
      <c r="F7" s="15" t="s">
        <v>25</v>
      </c>
      <c r="G7" s="10">
        <f>E7*J4/I4</f>
        <v>1.023921568627451</v>
      </c>
      <c r="H7" s="1"/>
      <c r="I7" s="1"/>
      <c r="J7" s="1"/>
      <c r="K7" s="6"/>
    </row>
    <row r="8" spans="1:11" x14ac:dyDescent="0.25">
      <c r="A8" s="1"/>
      <c r="B8" s="23" t="s">
        <v>27</v>
      </c>
      <c r="C8" s="15"/>
      <c r="D8" s="15"/>
      <c r="E8" s="28"/>
      <c r="F8" s="15"/>
      <c r="G8" s="1"/>
      <c r="H8" s="23" t="s">
        <v>30</v>
      </c>
      <c r="I8" s="18" t="s">
        <v>31</v>
      </c>
      <c r="J8" s="1"/>
      <c r="K8" s="6"/>
    </row>
    <row r="9" spans="1:11" x14ac:dyDescent="0.25">
      <c r="A9" s="1"/>
      <c r="B9" s="9" t="s">
        <v>71</v>
      </c>
      <c r="C9" s="15"/>
      <c r="D9" s="15"/>
      <c r="E9" s="28">
        <f>SUM(100+100*21%)</f>
        <v>121</v>
      </c>
      <c r="F9" s="15" t="s">
        <v>34</v>
      </c>
      <c r="G9" s="1"/>
      <c r="H9" s="23" t="s">
        <v>33</v>
      </c>
      <c r="I9" s="18">
        <v>45</v>
      </c>
      <c r="J9" s="1"/>
      <c r="K9" s="6"/>
    </row>
    <row r="10" spans="1:11" x14ac:dyDescent="0.25">
      <c r="A10" s="1"/>
      <c r="B10" s="9" t="s">
        <v>72</v>
      </c>
      <c r="C10" s="15"/>
      <c r="D10" s="15"/>
      <c r="E10" s="28">
        <f>SUM(70+70*21%)</f>
        <v>84.7</v>
      </c>
      <c r="F10" s="15" t="s">
        <v>73</v>
      </c>
      <c r="G10" s="1"/>
      <c r="H10" s="23" t="s">
        <v>35</v>
      </c>
      <c r="I10" s="18">
        <v>2</v>
      </c>
      <c r="J10" s="1"/>
      <c r="K10" s="6"/>
    </row>
    <row r="11" spans="1:11" x14ac:dyDescent="0.25">
      <c r="A11" s="1"/>
      <c r="B11" s="9" t="s">
        <v>74</v>
      </c>
      <c r="C11" s="15"/>
      <c r="D11" s="15"/>
      <c r="E11" s="28">
        <f>50+(50*21%)</f>
        <v>60.5</v>
      </c>
      <c r="F11" s="15" t="s">
        <v>75</v>
      </c>
      <c r="G11" s="1"/>
      <c r="H11" s="23" t="s">
        <v>37</v>
      </c>
      <c r="I11" s="18">
        <v>2</v>
      </c>
      <c r="J11" s="1"/>
      <c r="K11" s="6"/>
    </row>
    <row r="12" spans="1:11" x14ac:dyDescent="0.25">
      <c r="A12" s="1"/>
      <c r="B12" s="9" t="s">
        <v>76</v>
      </c>
      <c r="C12" s="15"/>
      <c r="D12" s="15"/>
      <c r="E12" s="28">
        <f>45+(45*21%)</f>
        <v>54.45</v>
      </c>
      <c r="F12" s="15" t="s">
        <v>32</v>
      </c>
      <c r="G12" s="1"/>
      <c r="H12" s="23" t="s">
        <v>40</v>
      </c>
      <c r="I12" s="18">
        <v>5</v>
      </c>
      <c r="J12" s="1"/>
      <c r="K12" s="6"/>
    </row>
    <row r="13" spans="1:11" x14ac:dyDescent="0.25">
      <c r="A13" s="1"/>
      <c r="B13" s="9" t="s">
        <v>36</v>
      </c>
      <c r="C13" s="15"/>
      <c r="D13" s="15"/>
      <c r="E13" s="28"/>
      <c r="F13" s="15"/>
      <c r="G13" s="1"/>
      <c r="H13" s="26" t="s">
        <v>43</v>
      </c>
      <c r="I13" s="18">
        <f>SUM(I9:I12)</f>
        <v>54</v>
      </c>
      <c r="J13" s="1"/>
      <c r="K13" s="6"/>
    </row>
    <row r="14" spans="1:11" x14ac:dyDescent="0.25">
      <c r="A14" s="1"/>
      <c r="B14" s="9" t="s">
        <v>38</v>
      </c>
      <c r="C14" s="15"/>
      <c r="D14" s="15"/>
      <c r="E14" s="28">
        <f>400+400*21%</f>
        <v>484</v>
      </c>
      <c r="F14" s="15" t="s">
        <v>39</v>
      </c>
      <c r="G14" s="1"/>
      <c r="H14" s="2"/>
      <c r="I14" s="32"/>
      <c r="J14" s="1"/>
      <c r="K14" s="6"/>
    </row>
    <row r="15" spans="1:11" x14ac:dyDescent="0.25">
      <c r="A15" s="1"/>
      <c r="B15" s="9" t="s">
        <v>41</v>
      </c>
      <c r="C15" s="15"/>
      <c r="D15" s="15"/>
      <c r="E15" s="28">
        <f>150+150*21%</f>
        <v>181.5</v>
      </c>
      <c r="F15" s="15" t="s">
        <v>42</v>
      </c>
      <c r="G15" s="1"/>
      <c r="H15" s="25" t="s">
        <v>46</v>
      </c>
      <c r="I15" s="18">
        <v>2</v>
      </c>
      <c r="J15" s="1"/>
      <c r="K15" s="6"/>
    </row>
    <row r="16" spans="1:11" x14ac:dyDescent="0.25">
      <c r="A16" s="1"/>
      <c r="B16" s="9" t="s">
        <v>44</v>
      </c>
      <c r="C16" s="15"/>
      <c r="D16" s="15"/>
      <c r="E16" s="28">
        <f>125+125*21%</f>
        <v>151.25</v>
      </c>
      <c r="F16" s="15" t="s">
        <v>45</v>
      </c>
      <c r="G16" s="1"/>
      <c r="H16" s="23" t="s">
        <v>37</v>
      </c>
      <c r="I16" s="18">
        <v>2</v>
      </c>
      <c r="J16" s="1"/>
      <c r="K16" s="6"/>
    </row>
    <row r="17" spans="1:11" x14ac:dyDescent="0.25">
      <c r="A17" s="1"/>
      <c r="B17" s="9"/>
      <c r="C17" s="15"/>
      <c r="D17" s="5" t="s">
        <v>47</v>
      </c>
      <c r="E17" s="28">
        <f>SUM(E7:E16)</f>
        <v>3748.3999999999996</v>
      </c>
      <c r="F17" s="15"/>
      <c r="G17" s="1"/>
      <c r="H17" s="23" t="s">
        <v>40</v>
      </c>
      <c r="I17" s="18">
        <v>5</v>
      </c>
      <c r="J17" s="1"/>
      <c r="K17" s="6"/>
    </row>
    <row r="18" spans="1:11" x14ac:dyDescent="0.25">
      <c r="A18" s="1"/>
      <c r="B18" s="23" t="s">
        <v>48</v>
      </c>
      <c r="C18" s="15"/>
      <c r="D18" s="15"/>
      <c r="E18" s="28"/>
      <c r="F18" s="15"/>
      <c r="G18" s="1"/>
      <c r="H18" s="23" t="s">
        <v>50</v>
      </c>
      <c r="I18" s="18">
        <f>SUM(I9,I15:I17)</f>
        <v>54</v>
      </c>
      <c r="J18" s="1"/>
      <c r="K18" s="6"/>
    </row>
    <row r="19" spans="1:11" x14ac:dyDescent="0.25">
      <c r="A19" s="1"/>
      <c r="B19" s="9" t="s">
        <v>7</v>
      </c>
      <c r="C19" s="29">
        <v>0.12</v>
      </c>
      <c r="D19" s="15"/>
      <c r="E19" s="28">
        <f>MIN((I4*C19),(((E17+I4*12%)*3))/45)</f>
        <v>270.29333333333329</v>
      </c>
      <c r="F19" s="15" t="s">
        <v>49</v>
      </c>
      <c r="G19" s="1"/>
      <c r="H19" s="1"/>
      <c r="I19" s="1"/>
      <c r="J19" s="1"/>
      <c r="K19" s="6"/>
    </row>
    <row r="20" spans="1:11" x14ac:dyDescent="0.25">
      <c r="A20" s="1"/>
      <c r="B20" s="9" t="s">
        <v>51</v>
      </c>
      <c r="C20" s="30">
        <v>4.4999999999999998E-2</v>
      </c>
      <c r="D20" s="15"/>
      <c r="E20" s="28">
        <f>E17*C20</f>
        <v>168.67799999999997</v>
      </c>
      <c r="F20" s="15" t="s">
        <v>52</v>
      </c>
      <c r="G20" s="1"/>
      <c r="H20" s="4"/>
      <c r="I20" s="11"/>
      <c r="J20" s="1"/>
      <c r="K20" s="6"/>
    </row>
    <row r="21" spans="1:11" x14ac:dyDescent="0.25">
      <c r="A21" s="1"/>
      <c r="B21" s="9"/>
      <c r="C21" s="29"/>
      <c r="D21" s="5" t="s">
        <v>53</v>
      </c>
      <c r="E21" s="28">
        <f>SUM(E17:E20)</f>
        <v>4187.3713333333326</v>
      </c>
      <c r="F21" s="15"/>
      <c r="G21" s="1"/>
      <c r="H21" s="4"/>
      <c r="I21" s="12"/>
      <c r="J21" s="1"/>
      <c r="K21" s="6"/>
    </row>
    <row r="22" spans="1:11" x14ac:dyDescent="0.25">
      <c r="A22" s="1"/>
      <c r="B22" s="9" t="s">
        <v>77</v>
      </c>
      <c r="C22" s="15">
        <v>1.65</v>
      </c>
      <c r="D22" s="15"/>
      <c r="E22" s="28">
        <f>(C22*I5)</f>
        <v>221.1</v>
      </c>
      <c r="F22" s="15" t="s">
        <v>78</v>
      </c>
      <c r="G22" s="1"/>
      <c r="H22" s="4"/>
      <c r="I22" s="11"/>
      <c r="J22" s="1"/>
      <c r="K22" s="6"/>
    </row>
    <row r="23" spans="1:11" x14ac:dyDescent="0.25">
      <c r="A23" s="1"/>
      <c r="B23" s="9" t="s">
        <v>113</v>
      </c>
      <c r="C23" s="15">
        <v>30</v>
      </c>
      <c r="D23" s="15"/>
      <c r="E23" s="28">
        <f>C23</f>
        <v>30</v>
      </c>
      <c r="F23" s="15" t="s">
        <v>115</v>
      </c>
      <c r="G23" s="1"/>
      <c r="H23" s="1"/>
      <c r="I23" s="1"/>
      <c r="J23" s="1"/>
      <c r="K23" s="6"/>
    </row>
    <row r="24" spans="1:11" x14ac:dyDescent="0.25">
      <c r="A24" s="1"/>
      <c r="B24" s="9" t="s">
        <v>114</v>
      </c>
      <c r="C24" s="15">
        <v>25</v>
      </c>
      <c r="D24" s="15"/>
      <c r="E24" s="28">
        <f>C24</f>
        <v>25</v>
      </c>
      <c r="F24" s="15" t="s">
        <v>116</v>
      </c>
      <c r="G24" s="1"/>
      <c r="H24" s="33"/>
      <c r="I24" s="1"/>
      <c r="J24" s="1"/>
      <c r="K24" s="6"/>
    </row>
    <row r="25" spans="1:11" x14ac:dyDescent="0.25">
      <c r="A25" s="1"/>
      <c r="B25" s="9" t="s">
        <v>54</v>
      </c>
      <c r="C25" s="30">
        <v>5.4999999999999997E-3</v>
      </c>
      <c r="D25" s="15"/>
      <c r="E25" s="28">
        <f>MAX((C25*E21),100)</f>
        <v>100</v>
      </c>
      <c r="F25" s="15" t="s">
        <v>55</v>
      </c>
      <c r="G25" s="1"/>
      <c r="H25" s="1"/>
      <c r="I25" s="1"/>
      <c r="J25" s="1"/>
      <c r="K25" s="6"/>
    </row>
    <row r="26" spans="1:11" x14ac:dyDescent="0.25">
      <c r="A26" s="1"/>
      <c r="B26" s="9"/>
      <c r="C26" s="15"/>
      <c r="D26" s="5" t="s">
        <v>56</v>
      </c>
      <c r="E26" s="28">
        <f>SUM(E21:E25)</f>
        <v>4563.471333333333</v>
      </c>
      <c r="F26" s="15"/>
      <c r="G26" s="10">
        <f>(E21*J4)/I4</f>
        <v>1.6421064052287579</v>
      </c>
      <c r="H26" s="34"/>
      <c r="I26" s="1"/>
      <c r="J26" s="1"/>
      <c r="K26" s="6"/>
    </row>
    <row r="27" spans="1:11" x14ac:dyDescent="0.25">
      <c r="A27" s="1"/>
      <c r="B27" s="9" t="s">
        <v>57</v>
      </c>
      <c r="C27" s="29">
        <v>0.01</v>
      </c>
      <c r="D27" s="15"/>
      <c r="E27" s="28">
        <f>MAX((C27*E26),300)</f>
        <v>300</v>
      </c>
      <c r="F27" s="15" t="s">
        <v>58</v>
      </c>
      <c r="G27" s="1"/>
      <c r="H27" s="1"/>
      <c r="I27" s="1"/>
      <c r="J27" s="1"/>
      <c r="K27" s="6"/>
    </row>
    <row r="28" spans="1:11" x14ac:dyDescent="0.25">
      <c r="A28" s="1"/>
      <c r="B28" s="23" t="s">
        <v>59</v>
      </c>
      <c r="C28" s="15"/>
      <c r="D28" s="15"/>
      <c r="E28" s="28"/>
      <c r="F28" s="15"/>
      <c r="G28" s="1"/>
      <c r="H28" s="1"/>
      <c r="I28" s="1"/>
      <c r="J28" s="1"/>
      <c r="K28" s="6"/>
    </row>
    <row r="29" spans="1:11" x14ac:dyDescent="0.25">
      <c r="A29" s="1"/>
      <c r="B29" s="9" t="s">
        <v>87</v>
      </c>
      <c r="C29" s="30">
        <v>3.0000000000000001E-3</v>
      </c>
      <c r="D29" s="15"/>
      <c r="E29" s="28">
        <f>MAX((C29*E26),112)</f>
        <v>112</v>
      </c>
      <c r="F29" s="15" t="s">
        <v>88</v>
      </c>
      <c r="G29" s="10">
        <f>(J4*E26)/I4</f>
        <v>1.7895966013071893</v>
      </c>
      <c r="H29" s="1"/>
      <c r="I29" s="1"/>
      <c r="J29" s="1"/>
      <c r="K29" s="6"/>
    </row>
    <row r="30" spans="1:11" x14ac:dyDescent="0.25">
      <c r="A30" s="1"/>
      <c r="B30" s="9" t="s">
        <v>89</v>
      </c>
      <c r="C30" s="15">
        <v>48</v>
      </c>
      <c r="D30" s="15"/>
      <c r="E30" s="28">
        <f>C30</f>
        <v>48</v>
      </c>
      <c r="F30" s="15" t="s">
        <v>90</v>
      </c>
      <c r="G30" s="1"/>
      <c r="H30" s="1"/>
      <c r="I30" s="1"/>
      <c r="J30" s="1"/>
      <c r="K30" s="6"/>
    </row>
    <row r="31" spans="1:11" x14ac:dyDescent="0.25">
      <c r="A31" s="1"/>
      <c r="B31" s="9" t="s">
        <v>91</v>
      </c>
      <c r="C31" s="35">
        <v>7</v>
      </c>
      <c r="D31" s="35"/>
      <c r="E31" s="28">
        <f>C31</f>
        <v>7</v>
      </c>
      <c r="F31" s="15" t="s">
        <v>92</v>
      </c>
      <c r="G31" s="1"/>
      <c r="H31" s="1"/>
      <c r="I31" s="1"/>
      <c r="J31" s="1"/>
      <c r="K31" s="6"/>
    </row>
    <row r="32" spans="1:11" x14ac:dyDescent="0.25">
      <c r="A32" s="1"/>
      <c r="B32" s="9" t="s">
        <v>60</v>
      </c>
      <c r="C32" s="35">
        <v>12</v>
      </c>
      <c r="D32" s="15"/>
      <c r="E32" s="28">
        <f>C32</f>
        <v>12</v>
      </c>
      <c r="F32" s="15" t="s">
        <v>93</v>
      </c>
      <c r="G32" s="1"/>
      <c r="H32" s="1"/>
      <c r="I32" s="1"/>
      <c r="J32" s="1"/>
      <c r="K32" s="6"/>
    </row>
    <row r="33" spans="1:11" x14ac:dyDescent="0.25">
      <c r="A33" s="1"/>
      <c r="B33" s="9" t="s">
        <v>94</v>
      </c>
      <c r="C33" s="35">
        <v>48</v>
      </c>
      <c r="D33" s="15"/>
      <c r="E33" s="28">
        <f>C33</f>
        <v>48</v>
      </c>
      <c r="F33" s="15" t="s">
        <v>95</v>
      </c>
      <c r="G33" s="1"/>
      <c r="H33" s="1"/>
      <c r="I33" s="1"/>
      <c r="J33" s="1"/>
      <c r="K33" s="6"/>
    </row>
    <row r="34" spans="1:11" x14ac:dyDescent="0.25">
      <c r="A34" s="1"/>
      <c r="B34" s="9" t="s">
        <v>96</v>
      </c>
      <c r="C34" s="35">
        <v>48</v>
      </c>
      <c r="D34" s="35"/>
      <c r="E34" s="28">
        <f>C34</f>
        <v>48</v>
      </c>
      <c r="F34" s="15" t="s">
        <v>90</v>
      </c>
      <c r="G34" s="1"/>
      <c r="H34" s="1"/>
      <c r="I34" s="1"/>
      <c r="J34" s="1"/>
      <c r="K34" s="6"/>
    </row>
    <row r="35" spans="1:11" x14ac:dyDescent="0.25">
      <c r="A35" s="1"/>
      <c r="B35" s="23" t="s">
        <v>61</v>
      </c>
      <c r="C35" s="35"/>
      <c r="D35" s="35"/>
      <c r="E35" s="28"/>
      <c r="F35" s="15"/>
      <c r="G35" s="1"/>
      <c r="H35" s="1"/>
      <c r="I35" s="1"/>
      <c r="J35" s="1"/>
      <c r="K35" s="6"/>
    </row>
    <row r="36" spans="1:11" x14ac:dyDescent="0.25">
      <c r="A36" s="1"/>
      <c r="B36" s="9" t="s">
        <v>62</v>
      </c>
      <c r="C36" s="29">
        <v>0.15</v>
      </c>
      <c r="D36" s="35"/>
      <c r="E36" s="28">
        <f>C36*E26</f>
        <v>684.52069999999992</v>
      </c>
      <c r="F36" s="15" t="s">
        <v>97</v>
      </c>
      <c r="G36" s="1"/>
      <c r="H36" s="1"/>
      <c r="I36" s="1"/>
      <c r="J36" s="1"/>
      <c r="K36" s="6"/>
    </row>
    <row r="37" spans="1:11" x14ac:dyDescent="0.25">
      <c r="A37" s="1"/>
      <c r="B37" s="9" t="s">
        <v>63</v>
      </c>
      <c r="C37" s="29">
        <v>0.19</v>
      </c>
      <c r="D37" s="35"/>
      <c r="E37" s="28">
        <f>C37*E26</f>
        <v>867.05955333333327</v>
      </c>
      <c r="F37" s="15" t="s">
        <v>98</v>
      </c>
      <c r="G37" s="1"/>
      <c r="H37" s="1"/>
      <c r="I37" s="1"/>
      <c r="J37" s="1"/>
      <c r="K37" s="6"/>
    </row>
    <row r="38" spans="1:11" x14ac:dyDescent="0.25">
      <c r="A38" s="1"/>
      <c r="B38" s="23" t="s">
        <v>64</v>
      </c>
      <c r="C38" s="15"/>
      <c r="D38" s="15"/>
      <c r="E38" s="28"/>
      <c r="F38" s="15"/>
      <c r="G38" s="1"/>
      <c r="H38" s="1"/>
      <c r="I38" s="1"/>
      <c r="J38" s="1"/>
      <c r="K38" s="6"/>
    </row>
    <row r="39" spans="1:11" x14ac:dyDescent="0.25">
      <c r="A39" s="1"/>
      <c r="B39" s="9" t="s">
        <v>80</v>
      </c>
      <c r="C39" s="15">
        <v>150</v>
      </c>
      <c r="D39" s="15"/>
      <c r="E39" s="28">
        <f>C39*J6</f>
        <v>150</v>
      </c>
      <c r="F39" s="15" t="s">
        <v>81</v>
      </c>
      <c r="G39" s="1"/>
      <c r="H39" s="1"/>
      <c r="I39" s="1"/>
      <c r="J39" s="1"/>
      <c r="K39" s="6"/>
    </row>
    <row r="40" spans="1:11" x14ac:dyDescent="0.25">
      <c r="A40" s="1"/>
      <c r="B40" s="9" t="s">
        <v>117</v>
      </c>
      <c r="C40" s="15">
        <v>0.15</v>
      </c>
      <c r="D40" s="15"/>
      <c r="E40" s="28">
        <f>MAX((C40*I5),100)</f>
        <v>100</v>
      </c>
      <c r="F40" s="15" t="s">
        <v>82</v>
      </c>
      <c r="G40" s="1"/>
      <c r="H40" s="1"/>
      <c r="I40" s="1"/>
      <c r="J40" s="1"/>
      <c r="K40" s="6"/>
    </row>
    <row r="41" spans="1:11" x14ac:dyDescent="0.25">
      <c r="A41" s="1"/>
      <c r="B41" s="9" t="s">
        <v>83</v>
      </c>
      <c r="C41" s="15">
        <v>90</v>
      </c>
      <c r="D41" s="15"/>
      <c r="E41" s="28">
        <f>C41</f>
        <v>90</v>
      </c>
      <c r="F41" s="15" t="s">
        <v>84</v>
      </c>
      <c r="G41" s="1"/>
      <c r="H41" s="1"/>
      <c r="I41" s="1"/>
      <c r="J41" s="1"/>
      <c r="K41" s="6"/>
    </row>
    <row r="42" spans="1:11" x14ac:dyDescent="0.25">
      <c r="A42" s="1"/>
      <c r="B42" s="23" t="s">
        <v>65</v>
      </c>
      <c r="C42" s="15"/>
      <c r="D42" s="15"/>
      <c r="E42" s="28"/>
      <c r="F42" s="15"/>
      <c r="G42" s="1"/>
      <c r="H42" s="1"/>
      <c r="I42" s="1"/>
      <c r="J42" s="1"/>
      <c r="K42" s="6"/>
    </row>
    <row r="43" spans="1:11" x14ac:dyDescent="0.25">
      <c r="A43" s="1"/>
      <c r="B43" s="9" t="s">
        <v>66</v>
      </c>
      <c r="C43" s="15">
        <v>300</v>
      </c>
      <c r="D43" s="15"/>
      <c r="E43" s="28">
        <f>C43</f>
        <v>300</v>
      </c>
      <c r="F43" s="15" t="s">
        <v>86</v>
      </c>
      <c r="G43" s="1"/>
      <c r="H43" s="1"/>
      <c r="I43" s="1"/>
      <c r="J43" s="1"/>
      <c r="K43" s="6"/>
    </row>
    <row r="44" spans="1:11" x14ac:dyDescent="0.25">
      <c r="A44" s="1"/>
      <c r="B44" s="9" t="s">
        <v>67</v>
      </c>
      <c r="C44" s="15">
        <v>430</v>
      </c>
      <c r="D44" s="15"/>
      <c r="E44" s="28">
        <f>C44</f>
        <v>430</v>
      </c>
      <c r="F44" s="15" t="s">
        <v>85</v>
      </c>
      <c r="G44" s="1"/>
      <c r="H44" s="1"/>
      <c r="I44" s="1"/>
      <c r="J44" s="1"/>
      <c r="K44" s="6"/>
    </row>
    <row r="45" spans="1:11" x14ac:dyDescent="0.25">
      <c r="A45" s="1"/>
      <c r="B45" s="1"/>
      <c r="C45" s="1"/>
      <c r="D45" s="5" t="s">
        <v>68</v>
      </c>
      <c r="E45" s="28">
        <f>SUM(E26:E43)</f>
        <v>7330.0515866666665</v>
      </c>
      <c r="F45" s="15" t="s">
        <v>69</v>
      </c>
      <c r="G45" s="10">
        <f>(E45*J4)/I4</f>
        <v>2.874530033986928</v>
      </c>
      <c r="H45" s="1"/>
      <c r="I45" s="1"/>
      <c r="J45" s="1"/>
      <c r="K45" s="6"/>
    </row>
    <row r="46" spans="1:11" x14ac:dyDescent="0.25">
      <c r="A46" s="1"/>
      <c r="B46" s="1"/>
      <c r="C46" s="1"/>
      <c r="D46" s="1"/>
      <c r="E46" s="28">
        <f>SUM(E26:E41,E44)</f>
        <v>7460.0515866666665</v>
      </c>
      <c r="F46" s="15" t="s">
        <v>70</v>
      </c>
      <c r="G46" s="10">
        <f>(E46*J4)/I4</f>
        <v>2.925510426143791</v>
      </c>
      <c r="H46" s="1"/>
      <c r="I46" s="1"/>
      <c r="J46" s="1"/>
      <c r="K46" s="6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6"/>
    </row>
  </sheetData>
  <sheetProtection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opLeftCell="B1" workbookViewId="0">
      <selection activeCell="B4" sqref="B4"/>
    </sheetView>
  </sheetViews>
  <sheetFormatPr baseColWidth="10" defaultRowHeight="15" x14ac:dyDescent="0.25"/>
  <cols>
    <col min="1" max="1" width="1.7109375" customWidth="1"/>
    <col min="2" max="2" width="33" customWidth="1"/>
    <col min="6" max="6" width="48.85546875" customWidth="1"/>
    <col min="8" max="8" width="25.5703125" customWidth="1"/>
  </cols>
  <sheetData>
    <row r="1" spans="1:11" x14ac:dyDescent="0.25">
      <c r="A1" s="1"/>
      <c r="B1" s="13" t="s">
        <v>131</v>
      </c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3" t="s">
        <v>99</v>
      </c>
      <c r="C2" s="27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7" t="s">
        <v>129</v>
      </c>
      <c r="C3" s="7"/>
      <c r="D3" s="7"/>
      <c r="E3" s="8"/>
      <c r="F3" s="7" t="s">
        <v>17</v>
      </c>
      <c r="G3" s="7" t="s">
        <v>18</v>
      </c>
      <c r="H3" s="7" t="s">
        <v>102</v>
      </c>
      <c r="I3" s="7" t="s">
        <v>11</v>
      </c>
      <c r="J3" s="1"/>
      <c r="K3" s="1"/>
    </row>
    <row r="4" spans="1:11" x14ac:dyDescent="0.25">
      <c r="A4" s="1"/>
      <c r="B4" s="9" t="s">
        <v>21</v>
      </c>
      <c r="C4" s="15">
        <v>15</v>
      </c>
      <c r="D4" s="15"/>
      <c r="E4" s="28">
        <f>PRODUCT(C4,I7)</f>
        <v>15</v>
      </c>
      <c r="F4" s="15" t="s">
        <v>22</v>
      </c>
      <c r="G4" s="1"/>
      <c r="H4" s="23" t="s">
        <v>23</v>
      </c>
      <c r="I4" s="15">
        <v>2470</v>
      </c>
      <c r="J4" s="29">
        <v>1</v>
      </c>
      <c r="K4" s="1"/>
    </row>
    <row r="5" spans="1:11" x14ac:dyDescent="0.25">
      <c r="A5" s="1"/>
      <c r="B5" s="23" t="s">
        <v>119</v>
      </c>
      <c r="C5" s="15"/>
      <c r="D5" s="15"/>
      <c r="E5" s="28"/>
      <c r="F5" s="15"/>
      <c r="G5" s="1"/>
      <c r="H5" s="23" t="s">
        <v>26</v>
      </c>
      <c r="I5" s="15">
        <v>106.2</v>
      </c>
      <c r="J5" s="1"/>
      <c r="K5" s="1"/>
    </row>
    <row r="6" spans="1:11" x14ac:dyDescent="0.25">
      <c r="A6" s="1"/>
      <c r="B6" s="9" t="s">
        <v>120</v>
      </c>
      <c r="C6" s="30">
        <v>2E-3</v>
      </c>
      <c r="D6" s="15"/>
      <c r="E6" s="28">
        <f>MAX((I4+E4)*C6,40)+6</f>
        <v>46</v>
      </c>
      <c r="F6" s="15" t="s">
        <v>121</v>
      </c>
      <c r="G6" s="1"/>
      <c r="H6" s="23" t="s">
        <v>28</v>
      </c>
      <c r="I6" s="41">
        <v>0.125</v>
      </c>
      <c r="J6" s="42"/>
      <c r="K6" s="1"/>
    </row>
    <row r="7" spans="1:11" x14ac:dyDescent="0.25">
      <c r="A7" s="1"/>
      <c r="B7" s="9"/>
      <c r="C7" s="15"/>
      <c r="D7" s="5" t="s">
        <v>24</v>
      </c>
      <c r="E7" s="28">
        <f>I4+E4+E6</f>
        <v>2531</v>
      </c>
      <c r="F7" s="15" t="s">
        <v>25</v>
      </c>
      <c r="G7" s="10">
        <f>E7*J4/I4</f>
        <v>1.0246963562753038</v>
      </c>
      <c r="H7" s="1"/>
      <c r="I7" s="1"/>
      <c r="J7" s="1"/>
      <c r="K7" s="1"/>
    </row>
    <row r="8" spans="1:11" x14ac:dyDescent="0.25">
      <c r="A8" s="1"/>
      <c r="B8" s="23" t="s">
        <v>27</v>
      </c>
      <c r="C8" s="15"/>
      <c r="D8" s="15"/>
      <c r="E8" s="28"/>
      <c r="F8" s="15"/>
      <c r="G8" s="1"/>
      <c r="H8" s="23" t="s">
        <v>30</v>
      </c>
      <c r="I8" s="18" t="s">
        <v>31</v>
      </c>
      <c r="J8" s="1"/>
      <c r="K8" s="1"/>
    </row>
    <row r="9" spans="1:11" x14ac:dyDescent="0.25">
      <c r="A9" s="1"/>
      <c r="B9" s="9" t="s">
        <v>71</v>
      </c>
      <c r="C9" s="15"/>
      <c r="D9" s="15"/>
      <c r="E9" s="28">
        <f>SUM(100+100*21%)</f>
        <v>121</v>
      </c>
      <c r="F9" s="15" t="s">
        <v>34</v>
      </c>
      <c r="G9" s="1"/>
      <c r="H9" s="23" t="s">
        <v>79</v>
      </c>
      <c r="I9" s="18">
        <v>5</v>
      </c>
      <c r="J9" s="1"/>
      <c r="K9" s="1"/>
    </row>
    <row r="10" spans="1:11" x14ac:dyDescent="0.25">
      <c r="A10" s="1"/>
      <c r="B10" s="9" t="s">
        <v>72</v>
      </c>
      <c r="C10" s="15"/>
      <c r="D10" s="15"/>
      <c r="E10" s="28">
        <f>SUM(70+70*21%)</f>
        <v>84.7</v>
      </c>
      <c r="F10" s="15" t="s">
        <v>73</v>
      </c>
      <c r="G10" s="1"/>
      <c r="H10" s="23" t="s">
        <v>37</v>
      </c>
      <c r="I10" s="18">
        <v>2</v>
      </c>
      <c r="J10" s="1"/>
      <c r="K10" s="1"/>
    </row>
    <row r="11" spans="1:11" x14ac:dyDescent="0.25">
      <c r="A11" s="1"/>
      <c r="B11" s="9" t="s">
        <v>74</v>
      </c>
      <c r="C11" s="15"/>
      <c r="D11" s="15"/>
      <c r="E11" s="28">
        <f>50+(50*21%)</f>
        <v>60.5</v>
      </c>
      <c r="F11" s="15" t="s">
        <v>75</v>
      </c>
      <c r="G11" s="1"/>
      <c r="H11" s="23" t="s">
        <v>40</v>
      </c>
      <c r="I11" s="18">
        <v>5</v>
      </c>
      <c r="J11" s="1"/>
      <c r="K11" s="1"/>
    </row>
    <row r="12" spans="1:11" x14ac:dyDescent="0.25">
      <c r="A12" s="1"/>
      <c r="B12" s="9" t="s">
        <v>76</v>
      </c>
      <c r="C12" s="15"/>
      <c r="D12" s="15"/>
      <c r="E12" s="28">
        <f>45+(45*21%)</f>
        <v>54.45</v>
      </c>
      <c r="F12" s="15" t="s">
        <v>32</v>
      </c>
      <c r="G12" s="1"/>
      <c r="H12" s="26" t="s">
        <v>43</v>
      </c>
      <c r="I12" s="18">
        <f>SUM(I9:I11)</f>
        <v>12</v>
      </c>
      <c r="J12" s="1"/>
      <c r="K12" s="1"/>
    </row>
    <row r="13" spans="1:11" x14ac:dyDescent="0.25">
      <c r="A13" s="1"/>
      <c r="B13" s="9" t="s">
        <v>36</v>
      </c>
      <c r="C13" s="15"/>
      <c r="D13" s="15"/>
      <c r="E13" s="28"/>
      <c r="F13" s="15"/>
      <c r="G13" s="1"/>
      <c r="H13" s="2"/>
      <c r="I13" s="32"/>
      <c r="J13" s="1"/>
      <c r="K13" s="1"/>
    </row>
    <row r="14" spans="1:11" x14ac:dyDescent="0.25">
      <c r="A14" s="1"/>
      <c r="B14" s="9" t="s">
        <v>38</v>
      </c>
      <c r="C14" s="15"/>
      <c r="D14" s="15"/>
      <c r="E14" s="28">
        <f>400+400*21%</f>
        <v>484</v>
      </c>
      <c r="F14" s="15" t="s">
        <v>39</v>
      </c>
      <c r="G14" s="1"/>
      <c r="H14" s="25" t="s">
        <v>118</v>
      </c>
      <c r="I14" s="18">
        <v>2</v>
      </c>
      <c r="J14" s="1"/>
      <c r="K14" s="1"/>
    </row>
    <row r="15" spans="1:11" x14ac:dyDescent="0.25">
      <c r="A15" s="1"/>
      <c r="B15" s="9" t="s">
        <v>41</v>
      </c>
      <c r="C15" s="15"/>
      <c r="D15" s="15"/>
      <c r="E15" s="28">
        <f>150+150*21%</f>
        <v>181.5</v>
      </c>
      <c r="F15" s="15" t="s">
        <v>42</v>
      </c>
      <c r="G15" s="1"/>
      <c r="H15" s="23" t="s">
        <v>37</v>
      </c>
      <c r="I15" s="18">
        <v>2</v>
      </c>
      <c r="J15" s="1"/>
      <c r="K15" s="1"/>
    </row>
    <row r="16" spans="1:11" x14ac:dyDescent="0.25">
      <c r="A16" s="1"/>
      <c r="B16" s="9" t="s">
        <v>44</v>
      </c>
      <c r="C16" s="15"/>
      <c r="D16" s="15"/>
      <c r="E16" s="28">
        <f>125+125*21%</f>
        <v>151.25</v>
      </c>
      <c r="F16" s="15" t="s">
        <v>45</v>
      </c>
      <c r="G16" s="1"/>
      <c r="H16" s="23" t="s">
        <v>40</v>
      </c>
      <c r="I16" s="18">
        <v>5</v>
      </c>
      <c r="J16" s="1"/>
      <c r="K16" s="1"/>
    </row>
    <row r="17" spans="1:11" x14ac:dyDescent="0.25">
      <c r="A17" s="1"/>
      <c r="B17" s="9"/>
      <c r="C17" s="15"/>
      <c r="D17" s="5" t="s">
        <v>47</v>
      </c>
      <c r="E17" s="28">
        <f>SUM(E7:E16)</f>
        <v>3668.3999999999996</v>
      </c>
      <c r="F17" s="15"/>
      <c r="G17" s="1"/>
      <c r="H17" s="23" t="s">
        <v>50</v>
      </c>
      <c r="I17" s="18">
        <f>SUM(I9,I14:I16)</f>
        <v>14</v>
      </c>
      <c r="J17" s="1"/>
      <c r="K17" s="1"/>
    </row>
    <row r="18" spans="1:11" x14ac:dyDescent="0.25">
      <c r="A18" s="1"/>
      <c r="B18" s="23" t="s">
        <v>48</v>
      </c>
      <c r="C18" s="15"/>
      <c r="D18" s="15"/>
      <c r="E18" s="28"/>
      <c r="F18" s="15"/>
      <c r="G18" s="1"/>
      <c r="H18" s="1"/>
      <c r="I18" s="1"/>
      <c r="J18" s="1"/>
      <c r="K18" s="1"/>
    </row>
    <row r="19" spans="1:11" x14ac:dyDescent="0.25">
      <c r="A19" s="1"/>
      <c r="B19" s="9" t="s">
        <v>7</v>
      </c>
      <c r="C19" s="29">
        <v>0.12</v>
      </c>
      <c r="D19" s="15"/>
      <c r="E19" s="28">
        <f>MIN((I4*C19),(((E17+I4*12%)*3))/45)</f>
        <v>264.32</v>
      </c>
      <c r="F19" s="15" t="s">
        <v>49</v>
      </c>
      <c r="G19" s="1"/>
      <c r="H19" s="4"/>
      <c r="I19" s="11"/>
      <c r="J19" s="1"/>
      <c r="K19" s="1"/>
    </row>
    <row r="20" spans="1:11" x14ac:dyDescent="0.25">
      <c r="A20" s="1"/>
      <c r="B20" s="9" t="s">
        <v>51</v>
      </c>
      <c r="C20" s="30">
        <v>4.4999999999999998E-2</v>
      </c>
      <c r="D20" s="15"/>
      <c r="E20" s="28">
        <f>E17*C20</f>
        <v>165.07799999999997</v>
      </c>
      <c r="F20" s="15" t="s">
        <v>52</v>
      </c>
      <c r="G20" s="1"/>
      <c r="H20" s="4"/>
      <c r="I20" s="12"/>
      <c r="J20" s="1"/>
      <c r="K20" s="1"/>
    </row>
    <row r="21" spans="1:11" x14ac:dyDescent="0.25">
      <c r="A21" s="1"/>
      <c r="B21" s="9"/>
      <c r="C21" s="29"/>
      <c r="D21" s="5" t="s">
        <v>53</v>
      </c>
      <c r="E21" s="28">
        <f>SUM(E17:E20)</f>
        <v>4097.7979999999998</v>
      </c>
      <c r="F21" s="15"/>
      <c r="G21" s="1"/>
      <c r="H21" s="4"/>
      <c r="I21" s="11"/>
      <c r="J21" s="1"/>
      <c r="K21" s="1"/>
    </row>
    <row r="22" spans="1:11" x14ac:dyDescent="0.25">
      <c r="A22" s="1"/>
      <c r="B22" s="9" t="s">
        <v>77</v>
      </c>
      <c r="C22" s="15">
        <v>1.65</v>
      </c>
      <c r="D22" s="15"/>
      <c r="E22" s="28">
        <f>(C22*I5)</f>
        <v>175.23</v>
      </c>
      <c r="F22" s="15" t="s">
        <v>78</v>
      </c>
      <c r="G22" s="1"/>
      <c r="H22" s="1"/>
      <c r="I22" s="1"/>
      <c r="J22" s="1"/>
      <c r="K22" s="1"/>
    </row>
    <row r="23" spans="1:11" x14ac:dyDescent="0.25">
      <c r="A23" s="1"/>
      <c r="B23" s="9" t="s">
        <v>113</v>
      </c>
      <c r="C23" s="15">
        <v>30</v>
      </c>
      <c r="D23" s="15"/>
      <c r="E23" s="28">
        <f>C23</f>
        <v>30</v>
      </c>
      <c r="F23" s="15" t="s">
        <v>115</v>
      </c>
      <c r="G23" s="1"/>
      <c r="H23" s="33"/>
      <c r="I23" s="1"/>
      <c r="J23" s="1"/>
      <c r="K23" s="1"/>
    </row>
    <row r="24" spans="1:11" x14ac:dyDescent="0.25">
      <c r="A24" s="1"/>
      <c r="B24" s="9" t="s">
        <v>114</v>
      </c>
      <c r="C24" s="15">
        <v>25</v>
      </c>
      <c r="D24" s="15"/>
      <c r="E24" s="28">
        <f>C24</f>
        <v>25</v>
      </c>
      <c r="F24" s="15" t="s">
        <v>116</v>
      </c>
      <c r="G24" s="1"/>
      <c r="H24" s="1"/>
      <c r="I24" s="1"/>
      <c r="J24" s="1"/>
      <c r="K24" s="1"/>
    </row>
    <row r="25" spans="1:11" x14ac:dyDescent="0.25">
      <c r="A25" s="1"/>
      <c r="B25" s="9" t="s">
        <v>54</v>
      </c>
      <c r="C25" s="30">
        <v>5.4999999999999997E-3</v>
      </c>
      <c r="D25" s="15"/>
      <c r="E25" s="28">
        <f>MAX((C25*E21),100)</f>
        <v>100</v>
      </c>
      <c r="F25" s="15" t="s">
        <v>55</v>
      </c>
      <c r="G25" s="1"/>
      <c r="H25" s="34"/>
      <c r="I25" s="1"/>
      <c r="J25" s="1"/>
      <c r="K25" s="1"/>
    </row>
    <row r="26" spans="1:11" x14ac:dyDescent="0.25">
      <c r="A26" s="1"/>
      <c r="B26" s="9"/>
      <c r="C26" s="15"/>
      <c r="D26" s="5" t="s">
        <v>56</v>
      </c>
      <c r="E26" s="28">
        <f>SUM(E21:E25)</f>
        <v>4428.0279999999993</v>
      </c>
      <c r="F26" s="15"/>
      <c r="G26" s="10">
        <f>(E21*J4)/I4</f>
        <v>1.6590275303643724</v>
      </c>
      <c r="H26" s="1"/>
      <c r="I26" s="1"/>
      <c r="J26" s="1"/>
      <c r="K26" s="1"/>
    </row>
    <row r="27" spans="1:11" x14ac:dyDescent="0.25">
      <c r="A27" s="1"/>
      <c r="B27" s="9" t="s">
        <v>57</v>
      </c>
      <c r="C27" s="29">
        <v>0.01</v>
      </c>
      <c r="D27" s="15"/>
      <c r="E27" s="28">
        <f>MAX((C27*E26),300)</f>
        <v>300</v>
      </c>
      <c r="F27" s="15" t="s">
        <v>58</v>
      </c>
      <c r="G27" s="1"/>
      <c r="H27" s="1"/>
      <c r="I27" s="1"/>
      <c r="J27" s="1"/>
      <c r="K27" s="1"/>
    </row>
    <row r="28" spans="1:11" x14ac:dyDescent="0.25">
      <c r="A28" s="1"/>
      <c r="B28" s="23" t="s">
        <v>59</v>
      </c>
      <c r="C28" s="15"/>
      <c r="D28" s="15"/>
      <c r="E28" s="28"/>
      <c r="F28" s="15"/>
      <c r="G28" s="1"/>
      <c r="H28" s="1"/>
      <c r="I28" s="1"/>
      <c r="J28" s="1"/>
      <c r="K28" s="1"/>
    </row>
    <row r="29" spans="1:11" x14ac:dyDescent="0.25">
      <c r="A29" s="1"/>
      <c r="B29" s="9" t="s">
        <v>87</v>
      </c>
      <c r="C29" s="30">
        <v>3.0000000000000001E-3</v>
      </c>
      <c r="D29" s="15"/>
      <c r="E29" s="28">
        <f>MAX((C29*E26),112)</f>
        <v>112</v>
      </c>
      <c r="F29" s="15" t="s">
        <v>88</v>
      </c>
      <c r="G29" s="10">
        <f>(J4*E26)/I4</f>
        <v>1.7927238866396757</v>
      </c>
      <c r="H29" s="1"/>
      <c r="I29" s="1"/>
      <c r="J29" s="1"/>
      <c r="K29" s="1"/>
    </row>
    <row r="30" spans="1:11" x14ac:dyDescent="0.25">
      <c r="A30" s="1"/>
      <c r="B30" s="9" t="s">
        <v>89</v>
      </c>
      <c r="C30" s="15">
        <v>48</v>
      </c>
      <c r="D30" s="15"/>
      <c r="E30" s="28">
        <f>C30</f>
        <v>48</v>
      </c>
      <c r="F30" s="15" t="s">
        <v>90</v>
      </c>
      <c r="G30" s="1"/>
      <c r="H30" s="1"/>
      <c r="I30" s="1"/>
      <c r="J30" s="1"/>
      <c r="K30" s="1"/>
    </row>
    <row r="31" spans="1:11" x14ac:dyDescent="0.25">
      <c r="A31" s="1"/>
      <c r="B31" s="9" t="s">
        <v>91</v>
      </c>
      <c r="C31" s="35">
        <v>7</v>
      </c>
      <c r="D31" s="35"/>
      <c r="E31" s="28">
        <f>C31</f>
        <v>7</v>
      </c>
      <c r="F31" s="15" t="s">
        <v>92</v>
      </c>
      <c r="G31" s="1"/>
      <c r="H31" s="1"/>
      <c r="I31" s="1"/>
      <c r="J31" s="1"/>
      <c r="K31" s="1"/>
    </row>
    <row r="32" spans="1:11" x14ac:dyDescent="0.25">
      <c r="A32" s="1"/>
      <c r="B32" s="9" t="s">
        <v>60</v>
      </c>
      <c r="C32" s="35">
        <v>12</v>
      </c>
      <c r="D32" s="15"/>
      <c r="E32" s="28">
        <f>C32</f>
        <v>12</v>
      </c>
      <c r="F32" s="15" t="s">
        <v>93</v>
      </c>
      <c r="G32" s="1"/>
      <c r="H32" s="1"/>
      <c r="I32" s="1"/>
      <c r="J32" s="1"/>
      <c r="K32" s="1"/>
    </row>
    <row r="33" spans="1:11" x14ac:dyDescent="0.25">
      <c r="A33" s="1"/>
      <c r="B33" s="9" t="s">
        <v>94</v>
      </c>
      <c r="C33" s="35">
        <v>48</v>
      </c>
      <c r="D33" s="15"/>
      <c r="E33" s="28">
        <f>C33</f>
        <v>48</v>
      </c>
      <c r="F33" s="15" t="s">
        <v>95</v>
      </c>
      <c r="G33" s="1"/>
      <c r="H33" s="1"/>
      <c r="I33" s="1"/>
      <c r="J33" s="1"/>
      <c r="K33" s="1"/>
    </row>
    <row r="34" spans="1:11" x14ac:dyDescent="0.25">
      <c r="A34" s="1"/>
      <c r="B34" s="9" t="s">
        <v>96</v>
      </c>
      <c r="C34" s="35">
        <v>48</v>
      </c>
      <c r="D34" s="35"/>
      <c r="E34" s="28">
        <f>C34</f>
        <v>48</v>
      </c>
      <c r="F34" s="15" t="s">
        <v>90</v>
      </c>
      <c r="G34" s="1"/>
      <c r="H34" s="1"/>
      <c r="I34" s="1"/>
      <c r="J34" s="1"/>
      <c r="K34" s="1"/>
    </row>
    <row r="35" spans="1:11" x14ac:dyDescent="0.25">
      <c r="A35" s="1"/>
      <c r="B35" s="23" t="s">
        <v>61</v>
      </c>
      <c r="C35" s="35"/>
      <c r="D35" s="35"/>
      <c r="E35" s="28"/>
      <c r="F35" s="15"/>
      <c r="G35" s="1"/>
      <c r="H35" s="1"/>
      <c r="I35" s="1"/>
      <c r="J35" s="1"/>
      <c r="K35" s="1"/>
    </row>
    <row r="36" spans="1:11" x14ac:dyDescent="0.25">
      <c r="A36" s="1"/>
      <c r="B36" s="9" t="s">
        <v>62</v>
      </c>
      <c r="C36" s="29">
        <v>0.15</v>
      </c>
      <c r="D36" s="35"/>
      <c r="E36" s="28">
        <f>C36*E26</f>
        <v>664.2041999999999</v>
      </c>
      <c r="F36" s="15" t="s">
        <v>97</v>
      </c>
      <c r="G36" s="1"/>
      <c r="H36" s="1"/>
      <c r="I36" s="1"/>
      <c r="J36" s="1"/>
      <c r="K36" s="1"/>
    </row>
    <row r="37" spans="1:11" x14ac:dyDescent="0.25">
      <c r="A37" s="1"/>
      <c r="B37" s="9" t="s">
        <v>63</v>
      </c>
      <c r="C37" s="29">
        <v>0.19</v>
      </c>
      <c r="D37" s="35"/>
      <c r="E37" s="28">
        <f>C37*E26</f>
        <v>841.32531999999992</v>
      </c>
      <c r="F37" s="15" t="s">
        <v>98</v>
      </c>
      <c r="G37" s="1"/>
      <c r="H37" s="1"/>
      <c r="I37" s="1"/>
      <c r="J37" s="1"/>
      <c r="K37" s="1"/>
    </row>
    <row r="38" spans="1:11" x14ac:dyDescent="0.25">
      <c r="A38" s="1"/>
      <c r="B38" s="23" t="s">
        <v>64</v>
      </c>
      <c r="C38" s="15"/>
      <c r="D38" s="15"/>
      <c r="E38" s="28"/>
      <c r="F38" s="15"/>
      <c r="G38" s="1"/>
      <c r="H38" s="1"/>
      <c r="I38" s="1"/>
      <c r="J38" s="1"/>
      <c r="K38" s="1"/>
    </row>
    <row r="39" spans="1:11" x14ac:dyDescent="0.25">
      <c r="A39" s="1"/>
      <c r="B39" s="9" t="s">
        <v>80</v>
      </c>
      <c r="C39" s="15">
        <v>150</v>
      </c>
      <c r="D39" s="15"/>
      <c r="E39" s="28">
        <f>C39*J6</f>
        <v>0</v>
      </c>
      <c r="F39" s="15" t="s">
        <v>81</v>
      </c>
      <c r="G39" s="1"/>
      <c r="H39" s="1"/>
      <c r="I39" s="1"/>
      <c r="J39" s="1"/>
      <c r="K39" s="1"/>
    </row>
    <row r="40" spans="1:11" x14ac:dyDescent="0.25">
      <c r="A40" s="1"/>
      <c r="B40" s="9" t="s">
        <v>117</v>
      </c>
      <c r="C40" s="15">
        <v>0.15</v>
      </c>
      <c r="D40" s="15"/>
      <c r="E40" s="28">
        <f>MAX((C40*I5),100)</f>
        <v>100</v>
      </c>
      <c r="F40" s="15" t="s">
        <v>82</v>
      </c>
      <c r="G40" s="1"/>
      <c r="H40" s="1"/>
      <c r="I40" s="1"/>
      <c r="J40" s="1"/>
      <c r="K40" s="1"/>
    </row>
    <row r="41" spans="1:11" x14ac:dyDescent="0.25">
      <c r="A41" s="1"/>
      <c r="B41" s="9" t="s">
        <v>83</v>
      </c>
      <c r="C41" s="15">
        <v>90</v>
      </c>
      <c r="D41" s="15"/>
      <c r="E41" s="28">
        <f>C41</f>
        <v>90</v>
      </c>
      <c r="F41" s="15" t="s">
        <v>84</v>
      </c>
      <c r="G41" s="1"/>
      <c r="H41" s="1"/>
      <c r="I41" s="1"/>
      <c r="J41" s="1"/>
      <c r="K41" s="1"/>
    </row>
    <row r="42" spans="1:11" x14ac:dyDescent="0.25">
      <c r="A42" s="1"/>
      <c r="B42" s="23" t="s">
        <v>65</v>
      </c>
      <c r="C42" s="15"/>
      <c r="D42" s="15"/>
      <c r="E42" s="28"/>
      <c r="F42" s="15"/>
      <c r="G42" s="1"/>
      <c r="H42" s="1"/>
      <c r="I42" s="1"/>
      <c r="J42" s="1"/>
      <c r="K42" s="1"/>
    </row>
    <row r="43" spans="1:11" x14ac:dyDescent="0.25">
      <c r="A43" s="1"/>
      <c r="B43" s="9" t="s">
        <v>66</v>
      </c>
      <c r="C43" s="15">
        <v>300</v>
      </c>
      <c r="D43" s="15"/>
      <c r="E43" s="28">
        <f>C43</f>
        <v>300</v>
      </c>
      <c r="F43" s="15" t="s">
        <v>86</v>
      </c>
      <c r="G43" s="1"/>
      <c r="H43" s="1"/>
      <c r="I43" s="1"/>
      <c r="J43" s="1"/>
      <c r="K43" s="1"/>
    </row>
    <row r="44" spans="1:11" x14ac:dyDescent="0.25">
      <c r="A44" s="1"/>
      <c r="B44" s="9" t="s">
        <v>67</v>
      </c>
      <c r="C44" s="15">
        <v>430</v>
      </c>
      <c r="D44" s="15"/>
      <c r="E44" s="28">
        <f>C44</f>
        <v>430</v>
      </c>
      <c r="F44" s="15" t="s">
        <v>85</v>
      </c>
      <c r="G44" s="1"/>
      <c r="H44" s="1"/>
      <c r="I44" s="1"/>
      <c r="J44" s="1"/>
      <c r="K44" s="1"/>
    </row>
    <row r="45" spans="1:11" x14ac:dyDescent="0.25">
      <c r="A45" s="1"/>
      <c r="B45" s="1"/>
      <c r="C45" s="1"/>
      <c r="D45" s="5" t="s">
        <v>68</v>
      </c>
      <c r="E45" s="28">
        <f>SUM(E26:E43)</f>
        <v>6998.5575199999994</v>
      </c>
      <c r="F45" s="15" t="s">
        <v>69</v>
      </c>
      <c r="G45" s="10">
        <f>(E45*J4)/I4</f>
        <v>2.8334240971659916</v>
      </c>
      <c r="H45" s="1"/>
      <c r="I45" s="1"/>
      <c r="J45" s="1"/>
      <c r="K45" s="1"/>
    </row>
    <row r="46" spans="1:11" x14ac:dyDescent="0.25">
      <c r="A46" s="1"/>
      <c r="B46" s="1"/>
      <c r="C46" s="1"/>
      <c r="D46" s="1"/>
      <c r="E46" s="28">
        <f>SUM(E26:E41,E44)</f>
        <v>7128.5575199999994</v>
      </c>
      <c r="F46" s="15" t="s">
        <v>70</v>
      </c>
      <c r="G46" s="10">
        <f>(E46*J4)/I4</f>
        <v>2.8860556761133602</v>
      </c>
      <c r="H46" s="1"/>
      <c r="I46" s="1"/>
      <c r="J46" s="1"/>
      <c r="K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x14ac:dyDescent="0.25">
      <c r="K48" s="1"/>
    </row>
    <row r="49" spans="11:11" x14ac:dyDescent="0.25">
      <c r="K49" s="1"/>
    </row>
    <row r="50" spans="11:11" x14ac:dyDescent="0.25">
      <c r="K50" s="1"/>
    </row>
    <row r="51" spans="11:11" x14ac:dyDescent="0.25">
      <c r="K51" s="1"/>
    </row>
    <row r="52" spans="11:11" x14ac:dyDescent="0.25">
      <c r="K52" s="1"/>
    </row>
    <row r="53" spans="11:11" x14ac:dyDescent="0.25">
      <c r="K53" s="1"/>
    </row>
    <row r="54" spans="11:11" x14ac:dyDescent="0.25">
      <c r="K54" s="1"/>
    </row>
    <row r="55" spans="11:11" x14ac:dyDescent="0.25">
      <c r="K55" s="1"/>
    </row>
    <row r="56" spans="11:11" x14ac:dyDescent="0.25">
      <c r="K56" s="1"/>
    </row>
  </sheetData>
  <sheetProtection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activeCell="E12" sqref="E12"/>
    </sheetView>
  </sheetViews>
  <sheetFormatPr baseColWidth="10" defaultRowHeight="15" x14ac:dyDescent="0.25"/>
  <cols>
    <col min="1" max="1" width="1.7109375" customWidth="1"/>
    <col min="2" max="2" width="34.140625" customWidth="1"/>
    <col min="7" max="7" width="11.28515625" customWidth="1"/>
  </cols>
  <sheetData>
    <row r="1" spans="1:9" x14ac:dyDescent="0.25">
      <c r="A1" s="1"/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3" t="s">
        <v>126</v>
      </c>
      <c r="C2" s="1"/>
      <c r="D2" s="1"/>
      <c r="E2" s="1"/>
      <c r="F2" s="1"/>
      <c r="G2" s="1"/>
      <c r="H2" s="1"/>
      <c r="I2" s="1"/>
    </row>
    <row r="3" spans="1:9" x14ac:dyDescent="0.25">
      <c r="A3" s="1"/>
      <c r="B3" s="1"/>
      <c r="C3" s="1"/>
      <c r="D3" s="1"/>
      <c r="E3" s="1"/>
      <c r="F3" s="1"/>
      <c r="G3" s="1"/>
      <c r="H3" s="1"/>
      <c r="I3" s="1"/>
    </row>
    <row r="4" spans="1:9" x14ac:dyDescent="0.25">
      <c r="A4" s="1"/>
      <c r="B4" s="13"/>
      <c r="C4" s="13" t="s">
        <v>103</v>
      </c>
      <c r="D4" s="37">
        <v>0.35</v>
      </c>
      <c r="E4" s="37"/>
      <c r="F4" s="1"/>
      <c r="G4" s="1"/>
      <c r="H4" s="1"/>
      <c r="I4" s="1"/>
    </row>
    <row r="5" spans="1:9" x14ac:dyDescent="0.25">
      <c r="A5" s="1"/>
      <c r="B5" s="45" t="s">
        <v>101</v>
      </c>
      <c r="C5" s="15" t="s">
        <v>104</v>
      </c>
      <c r="D5" s="15" t="s">
        <v>105</v>
      </c>
      <c r="E5" s="15" t="s">
        <v>106</v>
      </c>
      <c r="F5" s="1"/>
      <c r="G5" s="1"/>
      <c r="H5" s="1"/>
      <c r="I5" s="1"/>
    </row>
    <row r="6" spans="1:9" x14ac:dyDescent="0.25">
      <c r="A6" s="1"/>
      <c r="B6" s="9" t="s">
        <v>107</v>
      </c>
      <c r="C6" s="28">
        <f>MANGO!E7</f>
        <v>5261</v>
      </c>
      <c r="D6" s="28">
        <f>C6*D4+C6</f>
        <v>7102.35</v>
      </c>
      <c r="E6" s="28">
        <f>D6/CAJONES!E6</f>
        <v>71.023499999999999</v>
      </c>
      <c r="F6" s="1"/>
      <c r="G6" s="1"/>
      <c r="H6" s="1"/>
      <c r="I6" s="1"/>
    </row>
    <row r="7" spans="1:9" x14ac:dyDescent="0.25">
      <c r="A7" s="1"/>
      <c r="B7" s="9" t="s">
        <v>108</v>
      </c>
      <c r="C7" s="28">
        <f>MANGO!E21</f>
        <v>7154.4879999999994</v>
      </c>
      <c r="D7" s="28">
        <f>C7*D4+C7</f>
        <v>9658.5587999999989</v>
      </c>
      <c r="E7" s="28">
        <f>D7/CAJONES!E6</f>
        <v>96.585587999999987</v>
      </c>
      <c r="F7" s="1"/>
      <c r="G7" s="1"/>
      <c r="H7" s="1"/>
      <c r="I7" s="1"/>
    </row>
    <row r="8" spans="1:9" x14ac:dyDescent="0.25">
      <c r="A8" s="1"/>
      <c r="B8" s="9" t="s">
        <v>109</v>
      </c>
      <c r="C8" s="28">
        <f>MANGO!E26</f>
        <v>7608.137999999999</v>
      </c>
      <c r="D8" s="28">
        <f>C8*D4+C8</f>
        <v>10270.986299999999</v>
      </c>
      <c r="E8" s="28">
        <f>D8/CAJONES!E6</f>
        <v>102.70986299999998</v>
      </c>
      <c r="F8" s="1"/>
      <c r="G8" s="1"/>
      <c r="H8" s="1"/>
      <c r="I8" s="1"/>
    </row>
    <row r="9" spans="1:9" x14ac:dyDescent="0.25">
      <c r="A9" s="1"/>
      <c r="B9" s="9" t="s">
        <v>110</v>
      </c>
      <c r="C9" s="28">
        <f>MANGO!E46</f>
        <v>11539.904919999999</v>
      </c>
      <c r="D9" s="28">
        <f>C9*D4+C9</f>
        <v>15578.871641999998</v>
      </c>
      <c r="E9" s="28">
        <f>D9/CAJONES!E6</f>
        <v>155.78871641999999</v>
      </c>
      <c r="F9" s="1"/>
      <c r="G9" s="1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45" t="s">
        <v>100</v>
      </c>
      <c r="C11" s="15" t="s">
        <v>104</v>
      </c>
      <c r="D11" s="15" t="s">
        <v>105</v>
      </c>
      <c r="E11" s="15" t="s">
        <v>106</v>
      </c>
      <c r="F11" s="1"/>
      <c r="G11" s="1"/>
      <c r="H11" s="1"/>
      <c r="I11" s="1"/>
    </row>
    <row r="12" spans="1:9" x14ac:dyDescent="0.25">
      <c r="A12" s="1"/>
      <c r="B12" s="9" t="s">
        <v>107</v>
      </c>
      <c r="C12" s="28">
        <f>VB!E7</f>
        <v>2611</v>
      </c>
      <c r="D12" s="28">
        <f>C12*D4+C12</f>
        <v>3524.85</v>
      </c>
      <c r="E12" s="28">
        <f>D12/CAJONES!E7</f>
        <v>41.468823529411765</v>
      </c>
      <c r="F12" s="1"/>
      <c r="G12" s="1"/>
      <c r="H12" s="1"/>
      <c r="I12" s="1"/>
    </row>
    <row r="13" spans="1:9" x14ac:dyDescent="0.25">
      <c r="A13" s="1"/>
      <c r="B13" s="9" t="s">
        <v>108</v>
      </c>
      <c r="C13" s="28">
        <f>VB!E21</f>
        <v>4187.3713333333326</v>
      </c>
      <c r="D13" s="28">
        <f>C13*D4+C13</f>
        <v>5652.9512999999988</v>
      </c>
      <c r="E13" s="28">
        <f>D13/CAJONES!E7</f>
        <v>66.505309411764685</v>
      </c>
      <c r="F13" s="1"/>
      <c r="G13" s="1"/>
      <c r="H13" s="1"/>
      <c r="I13" s="1"/>
    </row>
    <row r="14" spans="1:9" x14ac:dyDescent="0.25">
      <c r="A14" s="1"/>
      <c r="B14" s="9" t="s">
        <v>109</v>
      </c>
      <c r="C14" s="28">
        <f>VB!E26</f>
        <v>4563.471333333333</v>
      </c>
      <c r="D14" s="28">
        <f>C14*D4+C14</f>
        <v>6160.6862999999994</v>
      </c>
      <c r="E14" s="28">
        <f>D14/CAJONES!E7</f>
        <v>72.478662352941171</v>
      </c>
      <c r="F14" s="1"/>
      <c r="G14" s="1"/>
      <c r="H14" s="1"/>
      <c r="I14" s="1"/>
    </row>
    <row r="15" spans="1:9" x14ac:dyDescent="0.25">
      <c r="A15" s="1"/>
      <c r="B15" s="9" t="s">
        <v>110</v>
      </c>
      <c r="C15" s="28">
        <f>VB!E46</f>
        <v>7460.0515866666665</v>
      </c>
      <c r="D15" s="28">
        <f>C15*D4+C15</f>
        <v>10071.069641999999</v>
      </c>
      <c r="E15" s="28">
        <f>D15/CAJONES!E7</f>
        <v>118.48317225882352</v>
      </c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1"/>
      <c r="B17" s="45" t="s">
        <v>102</v>
      </c>
      <c r="C17" s="15" t="s">
        <v>104</v>
      </c>
      <c r="D17" s="15" t="s">
        <v>105</v>
      </c>
      <c r="E17" s="15" t="s">
        <v>106</v>
      </c>
      <c r="F17" s="1"/>
      <c r="G17" s="1"/>
      <c r="H17" s="1"/>
      <c r="I17" s="1"/>
    </row>
    <row r="18" spans="1:9" x14ac:dyDescent="0.25">
      <c r="A18" s="1"/>
      <c r="B18" s="9" t="s">
        <v>107</v>
      </c>
      <c r="C18" s="28">
        <f>VR!E7</f>
        <v>2531</v>
      </c>
      <c r="D18" s="28">
        <f>C18*D4+C18</f>
        <v>3416.85</v>
      </c>
      <c r="E18" s="28">
        <f>D18/CAJONES!E8</f>
        <v>89.917105263157893</v>
      </c>
      <c r="F18" s="1"/>
      <c r="G18" s="1"/>
      <c r="H18" s="1"/>
      <c r="I18" s="1"/>
    </row>
    <row r="19" spans="1:9" x14ac:dyDescent="0.25">
      <c r="A19" s="1"/>
      <c r="B19" s="9" t="s">
        <v>108</v>
      </c>
      <c r="C19" s="28">
        <f>VR!E21</f>
        <v>4097.7979999999998</v>
      </c>
      <c r="D19" s="28">
        <f>C19*D4+C19</f>
        <v>5532.0272999999997</v>
      </c>
      <c r="E19" s="28">
        <f>D19/CAJONES!E8</f>
        <v>145.57966578947367</v>
      </c>
      <c r="F19" s="1"/>
      <c r="G19" s="1"/>
      <c r="H19" s="1"/>
      <c r="I19" s="1"/>
    </row>
    <row r="20" spans="1:9" x14ac:dyDescent="0.25">
      <c r="A20" s="1"/>
      <c r="B20" s="9" t="s">
        <v>109</v>
      </c>
      <c r="C20" s="28">
        <f>VR!E26</f>
        <v>4428.0279999999993</v>
      </c>
      <c r="D20" s="28">
        <f>C20*D4+C20</f>
        <v>5977.8377999999993</v>
      </c>
      <c r="E20" s="28">
        <f>D20/CAJONES!E8</f>
        <v>157.31152105263155</v>
      </c>
      <c r="F20" s="1"/>
      <c r="G20" s="33"/>
      <c r="H20" s="1"/>
      <c r="I20" s="1"/>
    </row>
    <row r="21" spans="1:9" x14ac:dyDescent="0.25">
      <c r="A21" s="1"/>
      <c r="B21" s="9" t="s">
        <v>110</v>
      </c>
      <c r="C21" s="28">
        <f>VR!E46</f>
        <v>7128.5575199999994</v>
      </c>
      <c r="D21" s="28">
        <f>C21*D4+C21</f>
        <v>9623.5526519999985</v>
      </c>
      <c r="E21" s="28">
        <f>D21/CAJONES!E8</f>
        <v>253.25138557894732</v>
      </c>
      <c r="F21" s="1"/>
      <c r="G21" s="1"/>
      <c r="H21" s="1"/>
      <c r="I21" s="1"/>
    </row>
    <row r="22" spans="1:9" x14ac:dyDescent="0.25">
      <c r="A22" s="1"/>
      <c r="B22" s="1"/>
      <c r="C22" s="1"/>
      <c r="D22" s="1"/>
      <c r="E22" s="1"/>
      <c r="F22" s="1"/>
      <c r="G22" s="1"/>
      <c r="H22" s="1"/>
      <c r="I22" s="1"/>
    </row>
    <row r="23" spans="1:9" x14ac:dyDescent="0.25">
      <c r="A23" s="1"/>
      <c r="B23" s="45" t="s">
        <v>111</v>
      </c>
      <c r="C23" s="15" t="s">
        <v>104</v>
      </c>
      <c r="D23" s="15" t="s">
        <v>105</v>
      </c>
      <c r="E23" s="15" t="s">
        <v>106</v>
      </c>
      <c r="F23" s="15" t="s">
        <v>101</v>
      </c>
      <c r="G23" s="15" t="s">
        <v>112</v>
      </c>
      <c r="H23" s="15" t="s">
        <v>132</v>
      </c>
      <c r="I23" s="1"/>
    </row>
    <row r="24" spans="1:9" x14ac:dyDescent="0.25">
      <c r="A24" s="1"/>
      <c r="B24" s="9" t="s">
        <v>107</v>
      </c>
      <c r="C24" s="28">
        <f>'3 EQUIPOS'!E7</f>
        <v>10311</v>
      </c>
      <c r="D24" s="28">
        <f>C24*D4+C24</f>
        <v>13919.85</v>
      </c>
      <c r="E24" s="31"/>
      <c r="F24" s="28">
        <f>CAJONES!D6*'3 EQUIPOS'!G7+(CAJONES!D6*'3 EQUIPOS'!G7)*PRECIOS!D4</f>
        <v>70.825068493150695</v>
      </c>
      <c r="G24" s="28">
        <f>CAJONES!D7*'3 EQUIPOS'!G7+(CAJONES!D7*'3 EQUIPOS'!G7)*PRECIOS!D4</f>
        <v>40.860616438356168</v>
      </c>
      <c r="H24" s="28">
        <f>CAJONES!D8*'3 EQUIPOS'!G7+(CAJONES!D8*'3 EQUIPOS'!G7)*PRECIOS!D4</f>
        <v>88.531335616438355</v>
      </c>
      <c r="I24" s="1"/>
    </row>
    <row r="25" spans="1:9" x14ac:dyDescent="0.25">
      <c r="A25" s="1"/>
      <c r="B25" s="9" t="s">
        <v>108</v>
      </c>
      <c r="C25" s="28">
        <f>'3 EQUIPOS'!E21</f>
        <v>12808.564666666669</v>
      </c>
      <c r="D25" s="43">
        <f>C25*D4+C25</f>
        <v>17291.562300000001</v>
      </c>
      <c r="E25" s="44"/>
      <c r="F25" s="28">
        <f>(CAJONES!D6*'3 EQUIPOS'!G26)+(CAJONES!D6*'3 EQUIPOS'!G26)*PRECIOS!D4</f>
        <v>87.980551819960866</v>
      </c>
      <c r="G25" s="28">
        <f>(CAJONES!D7*'3 EQUIPOS'!G26)+(CAJONES!D7*'3 EQUIPOS'!G26)*PRECIOS!D4</f>
        <v>50.758010665362043</v>
      </c>
      <c r="H25" s="28">
        <f>(CAJONES!D8*'3 EQUIPOS'!G26)+(CAJONES!D8*'3 EQUIPOS'!G26)*PRECIOS!D4</f>
        <v>109.97568977495109</v>
      </c>
      <c r="I25" s="1"/>
    </row>
    <row r="26" spans="1:9" x14ac:dyDescent="0.25">
      <c r="A26" s="1"/>
      <c r="B26" s="9" t="s">
        <v>109</v>
      </c>
      <c r="C26" s="28">
        <f>'3 EQUIPOS'!E26</f>
        <v>13658.544666666668</v>
      </c>
      <c r="D26" s="43">
        <f>C26*D4+C26</f>
        <v>18439.035300000003</v>
      </c>
      <c r="E26" s="44"/>
      <c r="F26" s="28">
        <f>CAJONES!D6*'3 EQUIPOS'!G29+(CAJONES!D6*'3 EQUIPOS'!G29)*PRECIOS!D4</f>
        <v>93.818966301369869</v>
      </c>
      <c r="G26" s="28">
        <f>(CAJONES!D7*'3 EQUIPOS'!G29)+(CAJONES!D7*'3 EQUIPOS'!G29)*PRECIOS!D4</f>
        <v>54.126326712328769</v>
      </c>
      <c r="H26" s="28">
        <f>CAJONES!D8*'3 EQUIPOS'!G29+CAJONES!D8*('3 EQUIPOS'!G29)*PRECIOS!D4</f>
        <v>117.27370787671234</v>
      </c>
      <c r="I26" s="1"/>
    </row>
    <row r="27" spans="1:9" x14ac:dyDescent="0.25">
      <c r="A27" s="1"/>
      <c r="B27" s="9" t="s">
        <v>110</v>
      </c>
      <c r="C27" s="28">
        <f>'3 EQUIPOS'!E46</f>
        <v>19671.449853333335</v>
      </c>
      <c r="D27" s="43">
        <f>C27*D4+C27</f>
        <v>26556.457302000003</v>
      </c>
      <c r="E27" s="44"/>
      <c r="F27" s="28">
        <f>(CAJONES!D6*'3 EQUIPOS'!G46)+(CAJONES!D6*'3 EQUIPOS'!G46)*D4</f>
        <v>135.12091777925639</v>
      </c>
      <c r="G27" s="28">
        <f>(CAJONES!D7*'3 EQUIPOS'!G46)+(CAJONES!D7*'3 EQUIPOS'!G46)*PRECIOS!D4</f>
        <v>77.95437564187867</v>
      </c>
      <c r="H27" s="28">
        <f>CAJONES!D8*'3 EQUIPOS'!G46+CAJONES!D8*'3 EQUIPOS'!G46*PRECIOS!D4</f>
        <v>168.90114722407046</v>
      </c>
      <c r="I27" s="1"/>
    </row>
    <row r="28" spans="1:9" x14ac:dyDescent="0.25">
      <c r="A28" s="1"/>
      <c r="B28" s="1"/>
      <c r="C28" s="1"/>
      <c r="D28" s="1"/>
      <c r="E28" s="1"/>
      <c r="F28" s="1"/>
      <c r="G28" s="1"/>
      <c r="H28" s="1"/>
      <c r="I28" s="1"/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CAJONES</vt:lpstr>
      <vt:lpstr>3 EQUIPOS</vt:lpstr>
      <vt:lpstr>MANGO</vt:lpstr>
      <vt:lpstr>VB</vt:lpstr>
      <vt:lpstr>VR</vt:lpstr>
      <vt:lpstr>PRECIOS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Macarena</cp:lastModifiedBy>
  <dcterms:created xsi:type="dcterms:W3CDTF">2019-04-08T11:44:23Z</dcterms:created>
  <dcterms:modified xsi:type="dcterms:W3CDTF">2019-06-19T21:27:36Z</dcterms:modified>
</cp:coreProperties>
</file>